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400" windowHeight="12555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<sst xmlns="http://schemas.openxmlformats.org/spreadsheetml/2006/main" count="297" uniqueCount="211">
  <si>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</si>
  <si>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</si>
  <si>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</si>
  <si>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31.12.2013 - Príjmy</t>
    </r>
  </si>
  <si>
    <t xml:space="preserve">                                                                                                                                                              </t>
  </si>
  <si>
    <t>Schválený</t>
  </si>
  <si>
    <t>Posledný</t>
  </si>
  <si>
    <t>Skutočnosť</t>
  </si>
  <si>
    <t>%</t>
  </si>
  <si>
    <t>P R Í J M Y</t>
  </si>
  <si>
    <t>rozpočet</t>
  </si>
  <si>
    <t>upravený rozpočet</t>
  </si>
  <si>
    <t>december</t>
  </si>
  <si>
    <t>plnenia</t>
  </si>
  <si>
    <t>(v EUR)</t>
  </si>
  <si>
    <t>december 2013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</si>
  <si>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</si>
  <si>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</si>
  <si>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</si>
  <si>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</si>
  <si>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</si>
  <si>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</si>
  <si>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</si>
  <si>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</si>
  <si>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</si>
  <si>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</si>
  <si>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</si>
  <si>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</si>
  <si>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</si>
  <si>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</si>
  <si>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</si>
  <si>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</si>
  <si>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</si>
  <si>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</si>
  <si>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</si>
  <si>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</si>
  <si>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</si>
  <si>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</si>
  <si>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</si>
  <si>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</si>
  <si>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</si>
  <si>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</si>
  <si>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</si>
  <si>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</si>
  <si>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</si>
  <si>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</si>
  <si>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</si>
  <si>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</si>
  <si>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</si>
  <si>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</si>
  <si>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</si>
  <si>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</si>
  <si>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</si>
  <si>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</si>
  <si>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</si>
  <si>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</si>
  <si>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</si>
  <si>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</si>
  <si>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</si>
  <si>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na Kult. a šport.leto od BSK</t>
  </si>
  <si>
    <t xml:space="preserve">          na BV - Kultúrna jeseň seniorov od BSK</t>
  </si>
  <si>
    <t xml:space="preserve">          na BV - Nadstavba MŠ Odborárska od BSK</t>
  </si>
  <si>
    <t xml:space="preserve">          na BV - Ochrana ZŤP občanov MČ BNM od BSK</t>
  </si>
  <si>
    <t xml:space="preserve">          na BV - zo ŠR pre ZŠ s MŠ Kalinčiakova</t>
  </si>
  <si>
    <t xml:space="preserve">          na  BV - zo ŠR "Na pomaľovanie"</t>
  </si>
  <si>
    <t xml:space="preserve">          na  BV - zo ŠR "Na vydanie publikácie"</t>
  </si>
  <si>
    <t xml:space="preserve">          na BV - zo ŠR Elektronizácia knižnice </t>
  </si>
  <si>
    <t xml:space="preserve">          na BV - zo ŠR projekt "Tolerancia"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</si>
  <si>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</si>
  <si>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</si>
  <si>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</si>
  <si>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</si>
  <si>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</si>
  <si>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</si>
  <si>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 xml:space="preserve">Transfery v rámci ver.správy (aj na Kamer.systém z MF SR) 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</si>
  <si>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</si>
  <si>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</si>
  <si>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</si>
  <si>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</si>
  <si>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</si>
  <si>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>EKO podnik VPS-vlastné príjmy /nepriratáva sa k čerpaniu/</t>
  </si>
  <si>
    <t xml:space="preserve">                                                                                                                                           Čerpanie rozpočtu k 31.12.2013 - Výdavky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</si>
  <si>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</si>
  <si>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</si>
  <si>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</si>
  <si>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</si>
  <si>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</si>
  <si>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</si>
  <si>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</si>
  <si>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</si>
  <si>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</si>
  <si>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</si>
  <si>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</si>
  <si>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</si>
  <si>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</si>
  <si>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</si>
  <si>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</si>
  <si>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</si>
  <si>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</si>
  <si>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</si>
  <si>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</si>
  <si>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</si>
  <si>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</si>
  <si>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</si>
  <si>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</si>
  <si>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</si>
  <si>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</si>
  <si>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</si>
  <si>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</si>
  <si>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</si>
  <si>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</si>
  <si>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</si>
  <si>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</si>
  <si>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</si>
  <si>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</si>
  <si>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</si>
  <si>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</si>
  <si>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</si>
  <si>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</si>
  <si>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</si>
  <si>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</si>
  <si>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</si>
  <si>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</si>
  <si>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</si>
  <si>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</si>
  <si>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</si>
  <si>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</si>
  <si>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</si>
  <si>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</si>
  <si>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</si>
  <si>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</si>
  <si>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</si>
  <si>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</si>
  <si>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</si>
  <si>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</si>
  <si>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</si>
  <si>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</si>
  <si>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</si>
  <si>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</si>
  <si>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</si>
  <si>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</si>
  <si>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</si>
  <si>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</si>
  <si>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</si>
  <si>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</si>
  <si>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</si>
  <si>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</si>
  <si>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</si>
  <si>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</si>
  <si>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</si>
  <si>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</si>
  <si>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</si>
  <si>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</si>
  <si>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</si>
  <si>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</si>
  <si>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</si>
  <si>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</si>
  <si>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</si>
  <si>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</si>
  <si>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</si>
  <si>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</si>
  <si>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</si>
  <si>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</si>
  <si>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</si>
  <si>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</si>
  <si>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</si>
  <si>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</si>
  <si>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</si>
  <si>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</si>
  <si>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</si>
  <si>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</si>
  <si>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</si>
  <si>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</si>
  <si>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</si>
  <si>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</si>
  <si>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</si>
  <si>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</si>
  <si>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</si>
  <si>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</si>
  <si>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</si>
  <si>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</si>
  <si>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</si>
  <si>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</si>
  <si>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</si>
  <si>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</si>
  <si>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</si>
  <si>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</si>
  <si>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</si>
  <si>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</si>
  <si>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</si>
  <si>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</si>
  <si>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</si>
  <si>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</si>
  <si>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</si>
  <si>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</si>
  <si>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</si>
  <si>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</si>
  <si>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</si>
  <si>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 Správa obecných úradov</t>
  </si>
  <si>
    <t xml:space="preserve">          Výstavba</t>
  </si>
  <si>
    <t xml:space="preserve">          Cestná doprava-výstavba miest a obcí,invest.akcie</t>
  </si>
  <si>
    <t xml:space="preserve">          Modernizácia strojového parku EKO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</si>
  <si>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</si>
  <si>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</si>
  <si>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</si>
  <si>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PD-Školak klub-strecha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</si>
  <si>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</si>
  <si>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</si>
  <si>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</si>
  <si>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</si>
  <si>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>Na KV- Knižnica-Bibliobox,ZŠ-Dets.ihrisko,ZŠ-prístrešok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</si>
</sst>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4" fontId="9" fillId="0" borderId="9" xfId="0" applyNumberFormat="1" applyFont="1" applyFill="1" applyBorder="1" applyAlignment="1">
      <alignment/>
    </xf>
    <xf numFmtId="172" fontId="9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6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workbookViewId="0" topLeftCell="A53">
      <selection activeCell="B69" sqref="B69"/>
    </sheetView>
  </sheetViews>
  <sheetFormatPr defaultColWidth="9.140625" defaultRowHeight="12.75"/>
  <cols>
    <col min="1" max="1" width="9.57421875" style="0" bestFit="1" customWidth="1"/>
    <col min="2" max="2" width="61.28125" style="0" customWidth="1"/>
    <col min="3" max="3" width="23.7109375" style="0" customWidth="1"/>
    <col min="4" max="4" width="24.00390625" style="0" customWidth="1"/>
    <col min="5" max="5" width="24.8515625" style="0" customWidth="1"/>
    <col min="6" max="6" width="18.57421875" style="0" customWidth="1"/>
    <col min="7" max="7" width="13.140625" style="0" customWidth="1"/>
    <col min="8" max="8" width="14.8515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6" ht="30">
      <c r="A5" s="3" t="s">
        <v>3</v>
      </c>
      <c r="B5" s="4"/>
      <c r="C5" s="5"/>
      <c r="D5" s="5"/>
      <c r="E5" s="6"/>
      <c r="F5" s="6"/>
    </row>
    <row r="6" spans="1:6" ht="25.5">
      <c r="A6" s="7" t="s">
        <v>4</v>
      </c>
      <c r="B6" s="6"/>
      <c r="C6" s="8"/>
      <c r="D6" s="8"/>
      <c r="E6" s="6"/>
      <c r="F6" s="6"/>
    </row>
    <row r="7" spans="3:4" ht="12.75">
      <c r="C7" s="9"/>
      <c r="D7" s="9"/>
    </row>
    <row r="8" spans="1:8" ht="15.75">
      <c r="A8" s="10"/>
      <c r="B8" s="11"/>
      <c r="C8" s="12" t="s">
        <v>5</v>
      </c>
      <c r="D8" s="13" t="s">
        <v>6</v>
      </c>
      <c r="E8" s="14" t="s">
        <v>7</v>
      </c>
      <c r="F8" s="13" t="s">
        <v>8</v>
      </c>
      <c r="G8" s="15"/>
      <c r="H8" s="5"/>
    </row>
    <row r="9" spans="1:8" ht="15.75">
      <c r="A9" s="83" t="s">
        <v>9</v>
      </c>
      <c r="B9" s="84"/>
      <c r="C9" s="16" t="s">
        <v>10</v>
      </c>
      <c r="D9" s="17" t="s">
        <v>11</v>
      </c>
      <c r="E9" s="18" t="s">
        <v>12</v>
      </c>
      <c r="F9" s="17" t="s">
        <v>13</v>
      </c>
      <c r="G9" s="15"/>
      <c r="H9" s="5"/>
    </row>
    <row r="10" spans="1:8" ht="15.75">
      <c r="A10" s="19"/>
      <c r="B10" s="20" t="s">
        <v>14</v>
      </c>
      <c r="C10" s="16">
        <v>2013</v>
      </c>
      <c r="D10" s="21" t="s">
        <v>15</v>
      </c>
      <c r="E10" s="18">
        <v>2013</v>
      </c>
      <c r="F10" s="17">
        <v>2013</v>
      </c>
      <c r="G10" s="15"/>
      <c r="H10" s="5"/>
    </row>
    <row r="11" spans="1:16" ht="19.5" customHeight="1">
      <c r="A11" s="22"/>
      <c r="B11" s="23" t="s">
        <v>16</v>
      </c>
      <c r="C11" s="24">
        <f>C12+C14+C16+C24+C26+C40+C41+C42+C25</f>
        <v>15577052</v>
      </c>
      <c r="D11" s="25">
        <f>D12+D14+D16+D24+D25+D26+D40+D41+D42</f>
        <v>14980823.81</v>
      </c>
      <c r="E11" s="25">
        <f>E12+E14+E16+E24+E25+E26+E40+E41+E42</f>
        <v>14563463.389999999</v>
      </c>
      <c r="F11" s="26">
        <f>E11*100/D11</f>
        <v>97.21403558780655</v>
      </c>
      <c r="G11" s="15"/>
      <c r="H11" s="15"/>
      <c r="I11" s="15"/>
      <c r="J11" s="5"/>
      <c r="K11" s="5"/>
      <c r="L11" s="5"/>
      <c r="M11" s="5"/>
      <c r="N11" s="5"/>
      <c r="O11" s="5"/>
      <c r="P11" s="5"/>
    </row>
    <row r="12" spans="1:16" ht="19.5" customHeight="1">
      <c r="A12" s="27">
        <v>110</v>
      </c>
      <c r="B12" s="28" t="s">
        <v>17</v>
      </c>
      <c r="C12" s="29">
        <f>SUM(C13:C13)</f>
        <v>5308958</v>
      </c>
      <c r="D12" s="30">
        <f>SUM(D13:D13)</f>
        <v>5159516</v>
      </c>
      <c r="E12" s="30">
        <f>E13</f>
        <v>4754000</v>
      </c>
      <c r="F12" s="26">
        <f aca="true" t="shared" si="0" ref="F12:F75">E12*100/D12</f>
        <v>92.14042557480198</v>
      </c>
      <c r="G12" s="15"/>
      <c r="H12" s="15"/>
      <c r="I12" s="15"/>
      <c r="J12" s="5"/>
      <c r="K12" s="5"/>
      <c r="L12" s="5"/>
      <c r="M12" s="5"/>
      <c r="N12" s="5"/>
      <c r="O12" s="5"/>
      <c r="P12" s="5"/>
    </row>
    <row r="13" spans="1:16" ht="19.5" customHeight="1">
      <c r="A13" s="31">
        <v>111</v>
      </c>
      <c r="B13" s="32" t="s">
        <v>18</v>
      </c>
      <c r="C13" s="33">
        <v>5308958</v>
      </c>
      <c r="D13" s="34">
        <f>5508152-348940+304</f>
        <v>5159516</v>
      </c>
      <c r="E13" s="34">
        <v>4754000</v>
      </c>
      <c r="F13" s="26">
        <f t="shared" si="0"/>
        <v>92.14042557480198</v>
      </c>
      <c r="G13" s="15"/>
      <c r="H13" s="15"/>
      <c r="I13" s="15"/>
      <c r="J13" s="5"/>
      <c r="K13" s="5"/>
      <c r="L13" s="5"/>
      <c r="M13" s="5"/>
      <c r="N13" s="5"/>
      <c r="O13" s="5"/>
      <c r="P13" s="5"/>
    </row>
    <row r="14" spans="1:16" ht="19.5" customHeight="1">
      <c r="A14" s="35">
        <v>120</v>
      </c>
      <c r="B14" s="36" t="s">
        <v>19</v>
      </c>
      <c r="C14" s="37">
        <f>SUM(C15)</f>
        <v>2820000</v>
      </c>
      <c r="D14" s="30">
        <f>SUM(D15)</f>
        <v>2844000</v>
      </c>
      <c r="E14" s="30">
        <f>E15</f>
        <v>3023241</v>
      </c>
      <c r="F14" s="26">
        <f t="shared" si="0"/>
        <v>106.30242616033755</v>
      </c>
      <c r="G14" s="15"/>
      <c r="H14" s="15"/>
      <c r="I14" s="15"/>
      <c r="J14" s="5"/>
      <c r="K14" s="5"/>
      <c r="L14" s="5"/>
      <c r="M14" s="5"/>
      <c r="N14" s="5"/>
      <c r="O14" s="5"/>
      <c r="P14" s="5"/>
    </row>
    <row r="15" spans="1:16" ht="19.5" customHeight="1">
      <c r="A15" s="31">
        <v>121</v>
      </c>
      <c r="B15" s="32" t="s">
        <v>20</v>
      </c>
      <c r="C15" s="33">
        <v>2820000</v>
      </c>
      <c r="D15" s="34">
        <f>2820000+24000</f>
        <v>2844000</v>
      </c>
      <c r="E15" s="34">
        <v>3023241</v>
      </c>
      <c r="F15" s="26">
        <f t="shared" si="0"/>
        <v>106.30242616033755</v>
      </c>
      <c r="G15" s="15"/>
      <c r="H15" s="15"/>
      <c r="I15" s="15"/>
      <c r="J15" s="5"/>
      <c r="K15" s="5"/>
      <c r="L15" s="5"/>
      <c r="M15" s="5"/>
      <c r="N15" s="5"/>
      <c r="O15" s="5"/>
      <c r="P15" s="5"/>
    </row>
    <row r="16" spans="1:16" ht="19.5" customHeight="1">
      <c r="A16" s="27">
        <v>130</v>
      </c>
      <c r="B16" s="28" t="s">
        <v>21</v>
      </c>
      <c r="C16" s="37">
        <f>SUM(C17+C23)</f>
        <v>508110</v>
      </c>
      <c r="D16" s="30">
        <f>D17</f>
        <v>508793</v>
      </c>
      <c r="E16" s="30">
        <f>E17</f>
        <v>443024.52999999997</v>
      </c>
      <c r="F16" s="26">
        <f t="shared" si="0"/>
        <v>87.07362915763385</v>
      </c>
      <c r="G16" s="15"/>
      <c r="H16" s="15"/>
      <c r="I16" s="15"/>
      <c r="J16" s="5"/>
      <c r="K16" s="5"/>
      <c r="L16" s="5"/>
      <c r="M16" s="5"/>
      <c r="N16" s="5"/>
      <c r="O16" s="5"/>
      <c r="P16" s="5"/>
    </row>
    <row r="17" spans="1:16" ht="19.5" customHeight="1">
      <c r="A17" s="38">
        <v>133</v>
      </c>
      <c r="B17" s="39" t="s">
        <v>22</v>
      </c>
      <c r="C17" s="40">
        <f>SUM(C18:C22)</f>
        <v>506110</v>
      </c>
      <c r="D17" s="34">
        <f>SUM(D18:D23)</f>
        <v>508793</v>
      </c>
      <c r="E17" s="34">
        <f>E18+E19+E20+E21+E22+E23</f>
        <v>443024.52999999997</v>
      </c>
      <c r="F17" s="26">
        <f t="shared" si="0"/>
        <v>87.07362915763385</v>
      </c>
      <c r="G17" s="15"/>
      <c r="H17" s="15"/>
      <c r="I17" s="15"/>
      <c r="J17" s="5"/>
      <c r="K17" s="5"/>
      <c r="L17" s="5"/>
      <c r="M17" s="5"/>
      <c r="N17" s="5"/>
      <c r="O17" s="5"/>
      <c r="P17" s="5"/>
    </row>
    <row r="18" spans="1:16" ht="19.5" customHeight="1">
      <c r="A18" s="39"/>
      <c r="B18" s="39" t="s">
        <v>23</v>
      </c>
      <c r="C18" s="33">
        <v>47000</v>
      </c>
      <c r="D18" s="34">
        <v>47000</v>
      </c>
      <c r="E18" s="34">
        <v>42701.79</v>
      </c>
      <c r="F18" s="26">
        <f t="shared" si="0"/>
        <v>90.85487234042553</v>
      </c>
      <c r="G18" s="15"/>
      <c r="H18" s="15"/>
      <c r="I18" s="15"/>
      <c r="J18" s="5"/>
      <c r="K18" s="5"/>
      <c r="L18" s="5"/>
      <c r="M18" s="5"/>
      <c r="N18" s="5"/>
      <c r="O18" s="5"/>
      <c r="P18" s="5"/>
    </row>
    <row r="19" spans="1:16" ht="19.5" customHeight="1">
      <c r="A19" s="39"/>
      <c r="B19" s="39" t="s">
        <v>24</v>
      </c>
      <c r="C19" s="33">
        <v>670</v>
      </c>
      <c r="D19" s="34">
        <f>670+683</f>
        <v>1353</v>
      </c>
      <c r="E19" s="34">
        <v>1340</v>
      </c>
      <c r="F19" s="26">
        <f t="shared" si="0"/>
        <v>99.03917220990392</v>
      </c>
      <c r="G19" s="15"/>
      <c r="H19" s="15"/>
      <c r="I19" s="15"/>
      <c r="J19" s="5"/>
      <c r="K19" s="5"/>
      <c r="L19" s="5"/>
      <c r="M19" s="5"/>
      <c r="N19" s="5"/>
      <c r="O19" s="5"/>
      <c r="P19" s="5"/>
    </row>
    <row r="20" spans="1:16" ht="19.5" customHeight="1">
      <c r="A20" s="41"/>
      <c r="B20" s="41" t="s">
        <v>25</v>
      </c>
      <c r="C20" s="33">
        <v>8440</v>
      </c>
      <c r="D20" s="34">
        <v>8440</v>
      </c>
      <c r="E20" s="34">
        <v>7584.94</v>
      </c>
      <c r="F20" s="26">
        <f t="shared" si="0"/>
        <v>89.86895734597157</v>
      </c>
      <c r="G20" s="15"/>
      <c r="H20" s="15"/>
      <c r="I20" s="15"/>
      <c r="J20" s="5"/>
      <c r="K20" s="5"/>
      <c r="L20" s="5"/>
      <c r="M20" s="5"/>
      <c r="N20" s="5"/>
      <c r="O20" s="5"/>
      <c r="P20" s="5"/>
    </row>
    <row r="21" spans="1:16" ht="19.5" customHeight="1">
      <c r="A21" s="41"/>
      <c r="B21" s="41" t="s">
        <v>26</v>
      </c>
      <c r="C21" s="33">
        <v>250000</v>
      </c>
      <c r="D21" s="34">
        <v>250000</v>
      </c>
      <c r="E21" s="34">
        <v>247179</v>
      </c>
      <c r="F21" s="26">
        <f t="shared" si="0"/>
        <v>98.8716</v>
      </c>
      <c r="G21" s="15"/>
      <c r="H21" s="15"/>
      <c r="I21" s="15"/>
      <c r="J21" s="5"/>
      <c r="K21" s="5"/>
      <c r="L21" s="5"/>
      <c r="M21" s="5"/>
      <c r="N21" s="5"/>
      <c r="O21" s="5"/>
      <c r="P21" s="5"/>
    </row>
    <row r="22" spans="1:16" ht="19.5" customHeight="1">
      <c r="A22" s="39"/>
      <c r="B22" s="39" t="s">
        <v>27</v>
      </c>
      <c r="C22" s="33">
        <v>200000</v>
      </c>
      <c r="D22" s="34">
        <v>200000</v>
      </c>
      <c r="E22" s="34">
        <v>143678.24</v>
      </c>
      <c r="F22" s="26">
        <f t="shared" si="0"/>
        <v>71.83912</v>
      </c>
      <c r="G22" s="15"/>
      <c r="H22" s="15"/>
      <c r="I22" s="15"/>
      <c r="J22" s="5"/>
      <c r="K22" s="5"/>
      <c r="L22" s="5"/>
      <c r="M22" s="5"/>
      <c r="N22" s="5"/>
      <c r="O22" s="5"/>
      <c r="P22" s="5"/>
    </row>
    <row r="23" spans="1:16" ht="19.5" customHeight="1">
      <c r="A23" s="42">
        <v>139002</v>
      </c>
      <c r="B23" s="41" t="s">
        <v>28</v>
      </c>
      <c r="C23" s="33">
        <v>2000</v>
      </c>
      <c r="D23" s="34">
        <v>2000</v>
      </c>
      <c r="E23" s="34">
        <v>540.56</v>
      </c>
      <c r="F23" s="26">
        <f t="shared" si="0"/>
        <v>27.027999999999995</v>
      </c>
      <c r="G23" s="15"/>
      <c r="H23" s="15"/>
      <c r="I23" s="15"/>
      <c r="J23" s="5"/>
      <c r="K23" s="5"/>
      <c r="L23" s="5"/>
      <c r="M23" s="5"/>
      <c r="N23" s="5"/>
      <c r="O23" s="5"/>
      <c r="P23" s="5"/>
    </row>
    <row r="24" spans="1:16" ht="19.5" customHeight="1">
      <c r="A24" s="35">
        <v>212</v>
      </c>
      <c r="B24" s="36" t="s">
        <v>29</v>
      </c>
      <c r="C24" s="37">
        <v>798338</v>
      </c>
      <c r="D24" s="30">
        <f>798338-120158+36800</f>
        <v>714980</v>
      </c>
      <c r="E24" s="30">
        <v>689261.7</v>
      </c>
      <c r="F24" s="26">
        <f t="shared" si="0"/>
        <v>96.40293434781393</v>
      </c>
      <c r="G24" s="43"/>
      <c r="H24" s="15"/>
      <c r="I24" s="15"/>
      <c r="J24" s="5"/>
      <c r="K24" s="5"/>
      <c r="L24" s="5"/>
      <c r="M24" s="5"/>
      <c r="N24" s="5"/>
      <c r="O24" s="5"/>
      <c r="P24" s="5"/>
    </row>
    <row r="25" spans="1:16" ht="19.5" customHeight="1">
      <c r="A25" s="35">
        <v>212</v>
      </c>
      <c r="B25" s="36" t="s">
        <v>30</v>
      </c>
      <c r="C25" s="37">
        <v>321820</v>
      </c>
      <c r="D25" s="30">
        <f>285020-49790</f>
        <v>235230</v>
      </c>
      <c r="E25" s="30">
        <v>238887.69</v>
      </c>
      <c r="F25" s="26">
        <f t="shared" si="0"/>
        <v>101.55494197168728</v>
      </c>
      <c r="G25" s="44"/>
      <c r="H25" s="44"/>
      <c r="I25" s="15"/>
      <c r="J25" s="5"/>
      <c r="K25" s="5"/>
      <c r="L25" s="5"/>
      <c r="M25" s="5"/>
      <c r="N25" s="5"/>
      <c r="O25" s="5"/>
      <c r="P25" s="5"/>
    </row>
    <row r="26" spans="1:16" ht="19.5" customHeight="1">
      <c r="A26" s="27">
        <v>220</v>
      </c>
      <c r="B26" s="28" t="s">
        <v>31</v>
      </c>
      <c r="C26" s="37">
        <f>SUM(C27+C28+C29)</f>
        <v>1189170</v>
      </c>
      <c r="D26" s="30">
        <f>SUM(D27+D28+D29)</f>
        <v>1249090</v>
      </c>
      <c r="E26" s="30">
        <f>SUM(E27+E28+E29)</f>
        <v>1373501.6899999997</v>
      </c>
      <c r="F26" s="26">
        <f t="shared" si="0"/>
        <v>109.9601862155649</v>
      </c>
      <c r="G26" s="15"/>
      <c r="H26" s="15"/>
      <c r="I26" s="15"/>
      <c r="J26" s="5"/>
      <c r="K26" s="5"/>
      <c r="L26" s="5"/>
      <c r="M26" s="5"/>
      <c r="N26" s="5"/>
      <c r="O26" s="5"/>
      <c r="P26" s="5"/>
    </row>
    <row r="27" spans="1:16" ht="19.5" customHeight="1">
      <c r="A27" s="38">
        <v>221</v>
      </c>
      <c r="B27" s="39" t="s">
        <v>32</v>
      </c>
      <c r="C27" s="33">
        <v>91600</v>
      </c>
      <c r="D27" s="34">
        <f>91600+22000</f>
        <v>113600</v>
      </c>
      <c r="E27" s="34">
        <v>178181.34</v>
      </c>
      <c r="F27" s="26">
        <f t="shared" si="0"/>
        <v>156.84977112676057</v>
      </c>
      <c r="G27" s="15"/>
      <c r="H27" s="15"/>
      <c r="I27" s="15"/>
      <c r="J27" s="5"/>
      <c r="K27" s="5"/>
      <c r="L27" s="5"/>
      <c r="M27" s="5"/>
      <c r="N27" s="5"/>
      <c r="O27" s="5"/>
      <c r="P27" s="5"/>
    </row>
    <row r="28" spans="1:16" ht="19.5" customHeight="1">
      <c r="A28" s="38">
        <v>222</v>
      </c>
      <c r="B28" s="39" t="s">
        <v>33</v>
      </c>
      <c r="C28" s="33">
        <v>0</v>
      </c>
      <c r="D28" s="34">
        <v>0</v>
      </c>
      <c r="E28" s="34">
        <v>105296.6</v>
      </c>
      <c r="F28" s="26">
        <v>0</v>
      </c>
      <c r="G28" s="15"/>
      <c r="H28" s="15"/>
      <c r="I28" s="15"/>
      <c r="J28" s="5"/>
      <c r="K28" s="5"/>
      <c r="L28" s="5"/>
      <c r="M28" s="5"/>
      <c r="N28" s="5"/>
      <c r="O28" s="5"/>
      <c r="P28" s="5"/>
    </row>
    <row r="29" spans="1:16" ht="19.5" customHeight="1">
      <c r="A29" s="38">
        <v>223</v>
      </c>
      <c r="B29" s="39" t="s">
        <v>34</v>
      </c>
      <c r="C29" s="40">
        <f>SUM(C30:C39)</f>
        <v>1097570</v>
      </c>
      <c r="D29" s="34">
        <f>SUM(D30:D39)</f>
        <v>1135490</v>
      </c>
      <c r="E29" s="34">
        <f>E30+E31+E32+E33+E34+E35+E36+E37+E38+E39</f>
        <v>1090023.7499999998</v>
      </c>
      <c r="F29" s="26">
        <f t="shared" si="0"/>
        <v>95.99589164149396</v>
      </c>
      <c r="G29" s="15"/>
      <c r="H29" s="15"/>
      <c r="I29" s="15"/>
      <c r="J29" s="5"/>
      <c r="K29" s="5"/>
      <c r="L29" s="5"/>
      <c r="M29" s="5"/>
      <c r="N29" s="5"/>
      <c r="O29" s="5"/>
      <c r="P29" s="5"/>
    </row>
    <row r="30" spans="1:16" ht="19.5" customHeight="1">
      <c r="A30" s="38"/>
      <c r="B30" s="39" t="s">
        <v>35</v>
      </c>
      <c r="C30" s="33">
        <v>89000</v>
      </c>
      <c r="D30" s="34">
        <f>89000+11000</f>
        <v>100000</v>
      </c>
      <c r="E30" s="34">
        <v>104463.68</v>
      </c>
      <c r="F30" s="26">
        <f t="shared" si="0"/>
        <v>104.46368</v>
      </c>
      <c r="G30" s="15"/>
      <c r="H30" s="15"/>
      <c r="I30" s="15"/>
      <c r="J30" s="5"/>
      <c r="K30" s="5"/>
      <c r="L30" s="5"/>
      <c r="M30" s="5"/>
      <c r="N30" s="5"/>
      <c r="O30" s="5"/>
      <c r="P30" s="5"/>
    </row>
    <row r="31" spans="1:16" ht="19.5" customHeight="1">
      <c r="A31" s="38"/>
      <c r="B31" s="39" t="s">
        <v>36</v>
      </c>
      <c r="C31" s="40">
        <v>454400</v>
      </c>
      <c r="D31" s="34">
        <v>454400</v>
      </c>
      <c r="E31" s="34">
        <v>400707.57</v>
      </c>
      <c r="F31" s="26">
        <f t="shared" si="0"/>
        <v>88.18388424295775</v>
      </c>
      <c r="G31" s="45"/>
      <c r="H31" s="45"/>
      <c r="I31" s="15"/>
      <c r="J31" s="5"/>
      <c r="K31" s="5"/>
      <c r="L31" s="5"/>
      <c r="M31" s="5"/>
      <c r="N31" s="5"/>
      <c r="O31" s="5"/>
      <c r="P31" s="5"/>
    </row>
    <row r="32" spans="1:16" ht="19.5" customHeight="1">
      <c r="A32" s="38"/>
      <c r="B32" s="39" t="s">
        <v>37</v>
      </c>
      <c r="C32" s="33">
        <v>120000</v>
      </c>
      <c r="D32" s="34">
        <f>120000+13000</f>
        <v>133000</v>
      </c>
      <c r="E32" s="34">
        <v>110338.49</v>
      </c>
      <c r="F32" s="26">
        <f t="shared" si="0"/>
        <v>82.96127067669173</v>
      </c>
      <c r="G32" s="15"/>
      <c r="H32" s="15"/>
      <c r="I32" s="15"/>
      <c r="J32" s="5"/>
      <c r="K32" s="5"/>
      <c r="L32" s="5"/>
      <c r="M32" s="5"/>
      <c r="N32" s="5"/>
      <c r="O32" s="5"/>
      <c r="P32" s="5"/>
    </row>
    <row r="33" spans="1:16" ht="19.5" customHeight="1">
      <c r="A33" s="38"/>
      <c r="B33" s="39" t="s">
        <v>38</v>
      </c>
      <c r="C33" s="33">
        <v>28000</v>
      </c>
      <c r="D33" s="34">
        <v>28000</v>
      </c>
      <c r="E33" s="34">
        <v>38997.19</v>
      </c>
      <c r="F33" s="26">
        <f t="shared" si="0"/>
        <v>139.27567857142859</v>
      </c>
      <c r="G33" s="15"/>
      <c r="H33" s="15"/>
      <c r="I33" s="15"/>
      <c r="J33" s="5"/>
      <c r="K33" s="5"/>
      <c r="L33" s="5"/>
      <c r="M33" s="5"/>
      <c r="N33" s="5"/>
      <c r="O33" s="5"/>
      <c r="P33" s="5"/>
    </row>
    <row r="34" spans="1:16" ht="19.5" customHeight="1">
      <c r="A34" s="38"/>
      <c r="B34" s="39" t="s">
        <v>39</v>
      </c>
      <c r="C34" s="33">
        <v>4000</v>
      </c>
      <c r="D34" s="34">
        <v>4000</v>
      </c>
      <c r="E34" s="34">
        <v>3425</v>
      </c>
      <c r="F34" s="26">
        <f t="shared" si="0"/>
        <v>85.625</v>
      </c>
      <c r="G34" s="15"/>
      <c r="H34" s="15"/>
      <c r="I34" s="15"/>
      <c r="J34" s="5"/>
      <c r="K34" s="5"/>
      <c r="L34" s="5"/>
      <c r="M34" s="5"/>
      <c r="N34" s="5"/>
      <c r="O34" s="5"/>
      <c r="P34" s="5"/>
    </row>
    <row r="35" spans="1:16" ht="19.5" customHeight="1">
      <c r="A35" s="38"/>
      <c r="B35" s="39" t="s">
        <v>40</v>
      </c>
      <c r="C35" s="33">
        <v>35000</v>
      </c>
      <c r="D35" s="34">
        <v>35000</v>
      </c>
      <c r="E35" s="34">
        <v>33074</v>
      </c>
      <c r="F35" s="26">
        <f t="shared" si="0"/>
        <v>94.49714285714286</v>
      </c>
      <c r="G35" s="15"/>
      <c r="H35" s="15"/>
      <c r="I35" s="15"/>
      <c r="J35" s="5"/>
      <c r="K35" s="5"/>
      <c r="L35" s="5"/>
      <c r="M35" s="5"/>
      <c r="N35" s="5"/>
      <c r="O35" s="5"/>
      <c r="P35" s="5"/>
    </row>
    <row r="36" spans="1:16" ht="19.5" customHeight="1">
      <c r="A36" s="38"/>
      <c r="B36" s="39" t="s">
        <v>41</v>
      </c>
      <c r="C36" s="40">
        <v>160000</v>
      </c>
      <c r="D36" s="34">
        <v>160000</v>
      </c>
      <c r="E36" s="34">
        <v>160344.43</v>
      </c>
      <c r="F36" s="26">
        <f t="shared" si="0"/>
        <v>100.21526875</v>
      </c>
      <c r="G36" s="45"/>
      <c r="H36" s="45"/>
      <c r="I36" s="15"/>
      <c r="J36" s="5"/>
      <c r="K36" s="5"/>
      <c r="L36" s="5"/>
      <c r="M36" s="5"/>
      <c r="N36" s="5"/>
      <c r="O36" s="5"/>
      <c r="P36" s="5"/>
    </row>
    <row r="37" spans="1:16" ht="19.5" customHeight="1">
      <c r="A37" s="38"/>
      <c r="B37" s="39" t="s">
        <v>42</v>
      </c>
      <c r="C37" s="40">
        <v>13000</v>
      </c>
      <c r="D37" s="34">
        <v>13000</v>
      </c>
      <c r="E37" s="34">
        <v>12215.02</v>
      </c>
      <c r="F37" s="26">
        <f t="shared" si="0"/>
        <v>93.9616923076923</v>
      </c>
      <c r="G37" s="45"/>
      <c r="H37" s="45"/>
      <c r="I37" s="15"/>
      <c r="J37" s="5"/>
      <c r="K37" s="5"/>
      <c r="L37" s="5"/>
      <c r="M37" s="5"/>
      <c r="N37" s="5"/>
      <c r="O37" s="5"/>
      <c r="P37" s="5"/>
    </row>
    <row r="38" spans="1:16" ht="19.5" customHeight="1">
      <c r="A38" s="38"/>
      <c r="B38" s="39" t="s">
        <v>43</v>
      </c>
      <c r="C38" s="33">
        <f>189866+178</f>
        <v>190044</v>
      </c>
      <c r="D38" s="34">
        <f>189866+178</f>
        <v>190044</v>
      </c>
      <c r="E38" s="34">
        <f>182585.9+9.96</f>
        <v>182595.86</v>
      </c>
      <c r="F38" s="26">
        <f t="shared" si="0"/>
        <v>96.08083391214666</v>
      </c>
      <c r="G38" s="45"/>
      <c r="H38" s="15"/>
      <c r="I38" s="15"/>
      <c r="J38" s="5"/>
      <c r="K38" s="5"/>
      <c r="L38" s="5"/>
      <c r="M38" s="5"/>
      <c r="N38" s="5"/>
      <c r="O38" s="5"/>
      <c r="P38" s="5"/>
    </row>
    <row r="39" spans="1:16" ht="19.5" customHeight="1">
      <c r="A39" s="38"/>
      <c r="B39" s="39" t="s">
        <v>44</v>
      </c>
      <c r="C39" s="33">
        <v>4126</v>
      </c>
      <c r="D39" s="34">
        <f>4126+13920</f>
        <v>18046</v>
      </c>
      <c r="E39" s="34">
        <f>42133.2+1.5+59.03+1508.78+160</f>
        <v>43862.509999999995</v>
      </c>
      <c r="F39" s="26">
        <f t="shared" si="0"/>
        <v>243.0594591599246</v>
      </c>
      <c r="G39" s="15"/>
      <c r="H39" s="15"/>
      <c r="I39" s="15"/>
      <c r="J39" s="5"/>
      <c r="K39" s="5"/>
      <c r="L39" s="5"/>
      <c r="M39" s="5"/>
      <c r="N39" s="5"/>
      <c r="O39" s="5"/>
      <c r="P39" s="5"/>
    </row>
    <row r="40" spans="1:16" ht="19.5" customHeight="1">
      <c r="A40" s="27">
        <v>240</v>
      </c>
      <c r="B40" s="28" t="s">
        <v>45</v>
      </c>
      <c r="C40" s="37">
        <v>25000</v>
      </c>
      <c r="D40" s="30">
        <v>25000</v>
      </c>
      <c r="E40" s="30">
        <f>24445.58+26.75</f>
        <v>24472.33</v>
      </c>
      <c r="F40" s="26">
        <f t="shared" si="0"/>
        <v>97.88932</v>
      </c>
      <c r="G40" s="44"/>
      <c r="H40" s="15"/>
      <c r="I40" s="15"/>
      <c r="J40" s="5"/>
      <c r="K40" s="5"/>
      <c r="L40" s="5"/>
      <c r="M40" s="5"/>
      <c r="N40" s="5"/>
      <c r="O40" s="5"/>
      <c r="P40" s="5"/>
    </row>
    <row r="41" spans="1:16" ht="19.5" customHeight="1">
      <c r="A41" s="27">
        <v>290</v>
      </c>
      <c r="B41" s="28" t="s">
        <v>46</v>
      </c>
      <c r="C41" s="30">
        <f>72000+1229080</f>
        <v>1301080</v>
      </c>
      <c r="D41" s="30">
        <f>72000+2232.13-2232.13+489080</f>
        <v>561080</v>
      </c>
      <c r="E41" s="30">
        <f>158969.85+102720.66</f>
        <v>261690.51</v>
      </c>
      <c r="F41" s="26">
        <f t="shared" si="0"/>
        <v>46.64049868111499</v>
      </c>
      <c r="G41" s="45"/>
      <c r="H41" s="15"/>
      <c r="I41" s="15"/>
      <c r="J41" s="5"/>
      <c r="K41" s="5"/>
      <c r="L41" s="5"/>
      <c r="M41" s="5"/>
      <c r="N41" s="5"/>
      <c r="O41" s="5"/>
      <c r="P41" s="5"/>
    </row>
    <row r="42" spans="1:16" ht="19.5" customHeight="1">
      <c r="A42" s="27">
        <v>310</v>
      </c>
      <c r="B42" s="28" t="s">
        <v>47</v>
      </c>
      <c r="C42" s="37">
        <f>SUM(C44:C44)</f>
        <v>3304576</v>
      </c>
      <c r="D42" s="30">
        <f>SUM(D43:D44)</f>
        <v>3683134.81</v>
      </c>
      <c r="E42" s="30">
        <f>SUM(E43:E44)</f>
        <v>3755383.94</v>
      </c>
      <c r="F42" s="26">
        <f t="shared" si="0"/>
        <v>101.96162056853954</v>
      </c>
      <c r="G42" s="15"/>
      <c r="H42" s="15"/>
      <c r="I42" s="15"/>
      <c r="J42" s="5"/>
      <c r="K42" s="5"/>
      <c r="L42" s="5"/>
      <c r="M42" s="5"/>
      <c r="N42" s="5"/>
      <c r="O42" s="5"/>
      <c r="P42" s="5"/>
    </row>
    <row r="43" spans="1:16" ht="19.5" customHeight="1">
      <c r="A43" s="27">
        <v>311</v>
      </c>
      <c r="B43" s="28" t="s">
        <v>48</v>
      </c>
      <c r="C43" s="37">
        <v>0</v>
      </c>
      <c r="D43" s="30">
        <v>5591.8</v>
      </c>
      <c r="E43" s="30">
        <v>7100</v>
      </c>
      <c r="F43" s="26">
        <f t="shared" si="0"/>
        <v>126.97163703995135</v>
      </c>
      <c r="G43" s="44"/>
      <c r="H43" s="44"/>
      <c r="I43" s="15"/>
      <c r="J43" s="5"/>
      <c r="K43" s="5"/>
      <c r="L43" s="5"/>
      <c r="M43" s="5"/>
      <c r="N43" s="5"/>
      <c r="O43" s="5"/>
      <c r="P43" s="5"/>
    </row>
    <row r="44" spans="1:16" ht="19.5" customHeight="1">
      <c r="A44" s="38">
        <v>312</v>
      </c>
      <c r="B44" s="39" t="s">
        <v>49</v>
      </c>
      <c r="C44" s="40">
        <f>SUM(C45:C63)</f>
        <v>3304576</v>
      </c>
      <c r="D44" s="34">
        <f>SUM(D45:D63)</f>
        <v>3677543.0100000002</v>
      </c>
      <c r="E44" s="34">
        <f>SUM(E45:E63)</f>
        <v>3748283.94</v>
      </c>
      <c r="F44" s="26">
        <f t="shared" si="0"/>
        <v>101.92359218662135</v>
      </c>
      <c r="G44" s="15"/>
      <c r="H44" s="15"/>
      <c r="I44" s="15"/>
      <c r="J44" s="5"/>
      <c r="K44" s="5"/>
      <c r="L44" s="5"/>
      <c r="M44" s="5"/>
      <c r="N44" s="5"/>
      <c r="O44" s="5"/>
      <c r="P44" s="5"/>
    </row>
    <row r="45" spans="1:16" ht="19.5" customHeight="1">
      <c r="A45" s="38"/>
      <c r="B45" s="39" t="s">
        <v>50</v>
      </c>
      <c r="C45" s="33">
        <v>95713</v>
      </c>
      <c r="D45" s="34">
        <f>97030+0.19</f>
        <v>97030.19</v>
      </c>
      <c r="E45" s="34">
        <v>97030.19</v>
      </c>
      <c r="F45" s="26">
        <f t="shared" si="0"/>
        <v>100</v>
      </c>
      <c r="G45" s="15"/>
      <c r="H45" s="15"/>
      <c r="I45" s="15"/>
      <c r="J45" s="5"/>
      <c r="K45" s="5"/>
      <c r="L45" s="5"/>
      <c r="M45" s="5"/>
      <c r="N45" s="5"/>
      <c r="O45" s="5"/>
      <c r="P45" s="5"/>
    </row>
    <row r="46" spans="1:16" ht="19.5" customHeight="1">
      <c r="A46" s="42"/>
      <c r="B46" s="41" t="s">
        <v>51</v>
      </c>
      <c r="C46" s="33">
        <f>2950077+127727</f>
        <v>3077804</v>
      </c>
      <c r="D46" s="34">
        <f>2950077+127727+51131+686.15-176-304+220.3+298.8+1095+378+452.95+1621+463+554+52+208.95+931+41168.66+249+358.85+279+3077+191.35+1107+41168.33+75740+2600</f>
        <v>3301355.3400000003</v>
      </c>
      <c r="E46" s="34">
        <f>3076948+138232+3290.55+85648+547.8+67144.02</f>
        <v>3371810.3699999996</v>
      </c>
      <c r="F46" s="26">
        <f t="shared" si="0"/>
        <v>102.1341244047967</v>
      </c>
      <c r="G46" s="45"/>
      <c r="H46" s="15"/>
      <c r="I46" s="15"/>
      <c r="J46" s="5"/>
      <c r="K46" s="5"/>
      <c r="L46" s="5"/>
      <c r="M46" s="5"/>
      <c r="N46" s="5"/>
      <c r="O46" s="5"/>
      <c r="P46" s="5"/>
    </row>
    <row r="47" spans="1:16" ht="19.5" customHeight="1">
      <c r="A47" s="38"/>
      <c r="B47" s="39" t="s">
        <v>52</v>
      </c>
      <c r="C47" s="33">
        <v>35375</v>
      </c>
      <c r="D47" s="34">
        <v>33969.18</v>
      </c>
      <c r="E47" s="34">
        <v>33969.18</v>
      </c>
      <c r="F47" s="26">
        <f t="shared" si="0"/>
        <v>100</v>
      </c>
      <c r="G47" s="15"/>
      <c r="H47" s="15"/>
      <c r="I47" s="15"/>
      <c r="J47" s="5"/>
      <c r="K47" s="5"/>
      <c r="L47" s="5"/>
      <c r="M47" s="5"/>
      <c r="N47" s="5"/>
      <c r="O47" s="5"/>
      <c r="P47" s="5"/>
    </row>
    <row r="48" spans="1:16" ht="19.5" customHeight="1">
      <c r="A48" s="38"/>
      <c r="B48" s="39" t="s">
        <v>53</v>
      </c>
      <c r="C48" s="33">
        <v>800</v>
      </c>
      <c r="D48" s="34">
        <f>1003+692.86+253.9</f>
        <v>1949.7600000000002</v>
      </c>
      <c r="E48" s="34">
        <v>2235.66</v>
      </c>
      <c r="F48" s="26">
        <f t="shared" si="0"/>
        <v>114.66334318069914</v>
      </c>
      <c r="G48" s="15"/>
      <c r="H48" s="15"/>
      <c r="I48" s="15"/>
      <c r="J48" s="5"/>
      <c r="K48" s="5"/>
      <c r="L48" s="5"/>
      <c r="M48" s="5"/>
      <c r="N48" s="5"/>
      <c r="O48" s="5"/>
      <c r="P48" s="5"/>
    </row>
    <row r="49" spans="1:16" ht="19.5" customHeight="1">
      <c r="A49" s="38"/>
      <c r="B49" s="41" t="s">
        <v>54</v>
      </c>
      <c r="C49" s="33">
        <v>25136</v>
      </c>
      <c r="D49" s="34">
        <f>25136+3</f>
        <v>25139</v>
      </c>
      <c r="E49" s="34">
        <v>25139</v>
      </c>
      <c r="F49" s="26">
        <f t="shared" si="0"/>
        <v>100</v>
      </c>
      <c r="G49" s="15"/>
      <c r="H49" s="15"/>
      <c r="I49" s="15"/>
      <c r="J49" s="5"/>
      <c r="K49" s="5"/>
      <c r="L49" s="5"/>
      <c r="M49" s="5"/>
      <c r="N49" s="5"/>
      <c r="O49" s="5"/>
      <c r="P49" s="5"/>
    </row>
    <row r="50" spans="1:16" ht="19.5" customHeight="1">
      <c r="A50" s="38"/>
      <c r="B50" s="39" t="s">
        <v>55</v>
      </c>
      <c r="C50" s="33">
        <v>12553</v>
      </c>
      <c r="D50" s="34">
        <f>12054-0.42</f>
        <v>12053.58</v>
      </c>
      <c r="E50" s="34">
        <v>12053.58</v>
      </c>
      <c r="F50" s="26">
        <f t="shared" si="0"/>
        <v>100</v>
      </c>
      <c r="G50" s="15"/>
      <c r="H50" s="15"/>
      <c r="I50" s="15"/>
      <c r="J50" s="5"/>
      <c r="K50" s="5"/>
      <c r="L50" s="5"/>
      <c r="M50" s="5"/>
      <c r="N50" s="5"/>
      <c r="O50" s="5"/>
      <c r="P50" s="5"/>
    </row>
    <row r="51" spans="1:16" ht="19.5" customHeight="1">
      <c r="A51" s="38"/>
      <c r="B51" s="39" t="s">
        <v>56</v>
      </c>
      <c r="C51" s="33">
        <v>3084</v>
      </c>
      <c r="D51" s="34">
        <v>2874.38</v>
      </c>
      <c r="E51" s="34">
        <v>2874.38</v>
      </c>
      <c r="F51" s="26">
        <f t="shared" si="0"/>
        <v>100</v>
      </c>
      <c r="G51" s="15"/>
      <c r="H51" s="15"/>
      <c r="I51" s="15"/>
      <c r="J51" s="5"/>
      <c r="K51" s="5"/>
      <c r="L51" s="5"/>
      <c r="M51" s="5"/>
      <c r="N51" s="5"/>
      <c r="O51" s="5"/>
      <c r="P51" s="5"/>
    </row>
    <row r="52" spans="1:16" ht="19.5" customHeight="1">
      <c r="A52" s="38"/>
      <c r="B52" s="41" t="s">
        <v>57</v>
      </c>
      <c r="C52" s="33">
        <v>13667</v>
      </c>
      <c r="D52" s="34">
        <f>13155-0.02-0.4</f>
        <v>13154.58</v>
      </c>
      <c r="E52" s="34">
        <v>13154.58</v>
      </c>
      <c r="F52" s="26">
        <f t="shared" si="0"/>
        <v>100</v>
      </c>
      <c r="G52" s="15"/>
      <c r="H52" s="15"/>
      <c r="I52" s="15"/>
      <c r="J52" s="5"/>
      <c r="K52" s="5"/>
      <c r="L52" s="5"/>
      <c r="M52" s="5"/>
      <c r="N52" s="5"/>
      <c r="O52" s="5"/>
      <c r="P52" s="5"/>
    </row>
    <row r="53" spans="1:16" ht="19.5" customHeight="1">
      <c r="A53" s="38"/>
      <c r="B53" s="39" t="s">
        <v>58</v>
      </c>
      <c r="C53" s="33">
        <v>1444</v>
      </c>
      <c r="D53" s="34">
        <f>1444+13</f>
        <v>1457</v>
      </c>
      <c r="E53" s="34">
        <v>1457</v>
      </c>
      <c r="F53" s="26">
        <f t="shared" si="0"/>
        <v>100</v>
      </c>
      <c r="G53" s="15"/>
      <c r="H53" s="15"/>
      <c r="I53" s="15"/>
      <c r="J53" s="5"/>
      <c r="K53" s="5"/>
      <c r="L53" s="5"/>
      <c r="M53" s="5"/>
      <c r="N53" s="5"/>
      <c r="O53" s="5"/>
      <c r="P53" s="5"/>
    </row>
    <row r="54" spans="1:16" ht="19.5" customHeight="1">
      <c r="A54" s="38"/>
      <c r="B54" s="41" t="s">
        <v>59</v>
      </c>
      <c r="C54" s="33">
        <v>0</v>
      </c>
      <c r="D54" s="34">
        <v>5500</v>
      </c>
      <c r="E54" s="34">
        <v>5500</v>
      </c>
      <c r="F54" s="26">
        <f t="shared" si="0"/>
        <v>100</v>
      </c>
      <c r="G54" s="15"/>
      <c r="H54" s="15"/>
      <c r="I54" s="15"/>
      <c r="J54" s="5"/>
      <c r="K54" s="5"/>
      <c r="L54" s="5"/>
      <c r="M54" s="5"/>
      <c r="N54" s="5"/>
      <c r="O54" s="5"/>
      <c r="P54" s="5"/>
    </row>
    <row r="55" spans="1:16" ht="19.5" customHeight="1">
      <c r="A55" s="38"/>
      <c r="B55" s="41" t="s">
        <v>60</v>
      </c>
      <c r="C55" s="33">
        <v>0</v>
      </c>
      <c r="D55" s="34">
        <f>500</f>
        <v>500</v>
      </c>
      <c r="E55" s="34">
        <v>500</v>
      </c>
      <c r="F55" s="26">
        <f t="shared" si="0"/>
        <v>100</v>
      </c>
      <c r="G55" s="15"/>
      <c r="H55" s="15"/>
      <c r="I55" s="15"/>
      <c r="J55" s="5"/>
      <c r="K55" s="5"/>
      <c r="L55" s="5"/>
      <c r="M55" s="5"/>
      <c r="N55" s="5"/>
      <c r="O55" s="5"/>
      <c r="P55" s="5"/>
    </row>
    <row r="56" spans="1:16" ht="19.5" customHeight="1">
      <c r="A56" s="38"/>
      <c r="B56" s="41" t="s">
        <v>61</v>
      </c>
      <c r="C56" s="33">
        <v>0</v>
      </c>
      <c r="D56" s="34">
        <f>7400</f>
        <v>7400</v>
      </c>
      <c r="E56" s="34">
        <v>7400</v>
      </c>
      <c r="F56" s="26">
        <f t="shared" si="0"/>
        <v>100</v>
      </c>
      <c r="G56" s="15"/>
      <c r="H56" s="15"/>
      <c r="I56" s="15"/>
      <c r="J56" s="5"/>
      <c r="K56" s="5"/>
      <c r="L56" s="5"/>
      <c r="M56" s="5"/>
      <c r="N56" s="5"/>
      <c r="O56" s="5"/>
      <c r="P56" s="5"/>
    </row>
    <row r="57" spans="1:16" ht="19.5" customHeight="1">
      <c r="A57" s="38"/>
      <c r="B57" s="41" t="s">
        <v>62</v>
      </c>
      <c r="C57" s="33">
        <v>0</v>
      </c>
      <c r="D57" s="34">
        <f>1000</f>
        <v>1000</v>
      </c>
      <c r="E57" s="34">
        <v>1000</v>
      </c>
      <c r="F57" s="26">
        <f t="shared" si="0"/>
        <v>100</v>
      </c>
      <c r="G57" s="15"/>
      <c r="H57" s="15"/>
      <c r="I57" s="15"/>
      <c r="J57" s="5"/>
      <c r="K57" s="5"/>
      <c r="L57" s="5"/>
      <c r="M57" s="5"/>
      <c r="N57" s="5"/>
      <c r="O57" s="5"/>
      <c r="P57" s="5"/>
    </row>
    <row r="58" spans="1:16" ht="19.5" customHeight="1">
      <c r="A58" s="38"/>
      <c r="B58" s="39" t="s">
        <v>63</v>
      </c>
      <c r="C58" s="33">
        <v>0</v>
      </c>
      <c r="D58" s="34">
        <f>0+110000</f>
        <v>110000</v>
      </c>
      <c r="E58" s="34">
        <v>110000</v>
      </c>
      <c r="F58" s="26">
        <f t="shared" si="0"/>
        <v>100</v>
      </c>
      <c r="G58" s="15"/>
      <c r="H58" s="15"/>
      <c r="I58" s="15"/>
      <c r="J58" s="5"/>
      <c r="K58" s="5"/>
      <c r="L58" s="5"/>
      <c r="M58" s="5"/>
      <c r="N58" s="5"/>
      <c r="O58" s="5"/>
      <c r="P58" s="5"/>
    </row>
    <row r="59" spans="1:16" ht="19.5" customHeight="1">
      <c r="A59" s="38"/>
      <c r="B59" s="39" t="s">
        <v>64</v>
      </c>
      <c r="C59" s="33">
        <v>0</v>
      </c>
      <c r="D59" s="34">
        <v>3000</v>
      </c>
      <c r="E59" s="34">
        <v>3000</v>
      </c>
      <c r="F59" s="26">
        <f t="shared" si="0"/>
        <v>100</v>
      </c>
      <c r="G59" s="15"/>
      <c r="H59" s="15"/>
      <c r="I59" s="15"/>
      <c r="J59" s="5"/>
      <c r="K59" s="5"/>
      <c r="L59" s="5"/>
      <c r="M59" s="5"/>
      <c r="N59" s="5"/>
      <c r="O59" s="5"/>
      <c r="P59" s="5"/>
    </row>
    <row r="60" spans="1:16" ht="19.5" customHeight="1">
      <c r="A60" s="38"/>
      <c r="B60" s="39" t="s">
        <v>65</v>
      </c>
      <c r="C60" s="33">
        <v>0</v>
      </c>
      <c r="D60" s="34">
        <v>2000</v>
      </c>
      <c r="E60" s="34">
        <v>2000</v>
      </c>
      <c r="F60" s="26">
        <f t="shared" si="0"/>
        <v>100</v>
      </c>
      <c r="G60" s="15"/>
      <c r="H60" s="15"/>
      <c r="I60" s="15"/>
      <c r="J60" s="5"/>
      <c r="K60" s="5"/>
      <c r="L60" s="5"/>
      <c r="M60" s="5"/>
      <c r="N60" s="5"/>
      <c r="O60" s="5"/>
      <c r="P60" s="5"/>
    </row>
    <row r="61" spans="1:16" ht="19.5" customHeight="1">
      <c r="A61" s="38"/>
      <c r="B61" s="39" t="s">
        <v>66</v>
      </c>
      <c r="C61" s="33">
        <v>0</v>
      </c>
      <c r="D61" s="34">
        <v>2880</v>
      </c>
      <c r="E61" s="34">
        <v>2880</v>
      </c>
      <c r="F61" s="26">
        <f t="shared" si="0"/>
        <v>100</v>
      </c>
      <c r="G61" s="15"/>
      <c r="H61" s="15"/>
      <c r="I61" s="15"/>
      <c r="J61" s="5"/>
      <c r="K61" s="5"/>
      <c r="L61" s="5"/>
      <c r="M61" s="5"/>
      <c r="N61" s="5"/>
      <c r="O61" s="5"/>
      <c r="P61" s="5"/>
    </row>
    <row r="62" spans="1:16" ht="19.5" customHeight="1">
      <c r="A62" s="38"/>
      <c r="B62" s="39" t="s">
        <v>67</v>
      </c>
      <c r="C62" s="33">
        <v>0</v>
      </c>
      <c r="D62" s="34">
        <v>7000</v>
      </c>
      <c r="E62" s="34">
        <v>7000</v>
      </c>
      <c r="F62" s="26">
        <f t="shared" si="0"/>
        <v>100</v>
      </c>
      <c r="G62" s="15"/>
      <c r="H62" s="15"/>
      <c r="I62" s="15"/>
      <c r="J62" s="5"/>
      <c r="K62" s="5"/>
      <c r="L62" s="5"/>
      <c r="M62" s="5"/>
      <c r="N62" s="5"/>
      <c r="O62" s="5"/>
      <c r="P62" s="5"/>
    </row>
    <row r="63" spans="1:16" ht="19.5" customHeight="1">
      <c r="A63" s="38"/>
      <c r="B63" s="39" t="s">
        <v>68</v>
      </c>
      <c r="C63" s="33">
        <v>39000</v>
      </c>
      <c r="D63" s="34">
        <f>39000+10280</f>
        <v>49280</v>
      </c>
      <c r="E63" s="34">
        <v>49280</v>
      </c>
      <c r="F63" s="26">
        <f t="shared" si="0"/>
        <v>100</v>
      </c>
      <c r="G63" s="15"/>
      <c r="H63" s="15"/>
      <c r="I63" s="15"/>
      <c r="J63" s="5"/>
      <c r="K63" s="5"/>
      <c r="L63" s="5"/>
      <c r="M63" s="5"/>
      <c r="N63" s="5"/>
      <c r="O63" s="5"/>
      <c r="P63" s="5"/>
    </row>
    <row r="64" spans="1:16" ht="19.5" customHeight="1">
      <c r="A64" s="46"/>
      <c r="B64" s="23" t="s">
        <v>69</v>
      </c>
      <c r="C64" s="47">
        <f>C65+C68</f>
        <v>2905191.38</v>
      </c>
      <c r="D64" s="25">
        <f>D65+D68</f>
        <v>420385.9</v>
      </c>
      <c r="E64" s="25">
        <f>E65+E68</f>
        <v>285440.2</v>
      </c>
      <c r="F64" s="26">
        <f t="shared" si="0"/>
        <v>67.89956561340425</v>
      </c>
      <c r="G64" s="15"/>
      <c r="H64" s="15"/>
      <c r="I64" s="15"/>
      <c r="J64" s="5"/>
      <c r="K64" s="5"/>
      <c r="L64" s="5"/>
      <c r="M64" s="5"/>
      <c r="N64" s="5"/>
      <c r="O64" s="5"/>
      <c r="P64" s="5"/>
    </row>
    <row r="65" spans="1:16" ht="19.5" customHeight="1">
      <c r="A65" s="27">
        <v>230</v>
      </c>
      <c r="B65" s="28" t="s">
        <v>70</v>
      </c>
      <c r="C65" s="37">
        <f>SUM(C66:C67)</f>
        <v>346750</v>
      </c>
      <c r="D65" s="30">
        <f>SUM(D66:D67)</f>
        <v>346750</v>
      </c>
      <c r="E65" s="30">
        <f>SUM(E66:E67)</f>
        <v>237940.2</v>
      </c>
      <c r="F65" s="26">
        <f t="shared" si="0"/>
        <v>68.6201009372747</v>
      </c>
      <c r="G65" s="15"/>
      <c r="H65" s="15"/>
      <c r="I65" s="15"/>
      <c r="J65" s="5"/>
      <c r="K65" s="5"/>
      <c r="L65" s="5"/>
      <c r="M65" s="5"/>
      <c r="N65" s="5"/>
      <c r="O65" s="5"/>
      <c r="P65" s="5"/>
    </row>
    <row r="66" spans="1:16" ht="19.5" customHeight="1">
      <c r="A66" s="38">
        <v>231</v>
      </c>
      <c r="B66" s="39" t="s">
        <v>71</v>
      </c>
      <c r="C66" s="33">
        <v>238750</v>
      </c>
      <c r="D66" s="34">
        <v>238750</v>
      </c>
      <c r="E66" s="34">
        <v>7417.2</v>
      </c>
      <c r="F66" s="26">
        <f t="shared" si="0"/>
        <v>3.1066806282722514</v>
      </c>
      <c r="G66" s="15"/>
      <c r="H66" s="15"/>
      <c r="I66" s="15"/>
      <c r="J66" s="5"/>
      <c r="K66" s="5"/>
      <c r="L66" s="5"/>
      <c r="M66" s="5"/>
      <c r="N66" s="5"/>
      <c r="O66" s="5"/>
      <c r="P66" s="5"/>
    </row>
    <row r="67" spans="1:16" ht="19.5" customHeight="1">
      <c r="A67" s="38">
        <v>233</v>
      </c>
      <c r="B67" s="39" t="s">
        <v>72</v>
      </c>
      <c r="C67" s="33">
        <v>108000</v>
      </c>
      <c r="D67" s="34">
        <v>108000</v>
      </c>
      <c r="E67" s="34">
        <v>230523</v>
      </c>
      <c r="F67" s="26">
        <f t="shared" si="0"/>
        <v>213.44722222222222</v>
      </c>
      <c r="G67" s="15"/>
      <c r="H67" s="15"/>
      <c r="I67" s="15"/>
      <c r="J67" s="5"/>
      <c r="K67" s="5"/>
      <c r="L67" s="5"/>
      <c r="M67" s="5"/>
      <c r="N67" s="5"/>
      <c r="O67" s="5"/>
      <c r="P67" s="5"/>
    </row>
    <row r="68" spans="1:16" ht="19.5" customHeight="1">
      <c r="A68" s="27">
        <v>320</v>
      </c>
      <c r="B68" s="48" t="s">
        <v>73</v>
      </c>
      <c r="C68" s="37">
        <f>C69+C70</f>
        <v>2558441.38</v>
      </c>
      <c r="D68" s="30">
        <f>D69+D70</f>
        <v>73635.90000000002</v>
      </c>
      <c r="E68" s="30">
        <f>E69+E70</f>
        <v>47500</v>
      </c>
      <c r="F68" s="26">
        <f t="shared" si="0"/>
        <v>64.50657899204055</v>
      </c>
      <c r="G68" s="15"/>
      <c r="H68" s="15"/>
      <c r="I68" s="15"/>
      <c r="J68" s="5"/>
      <c r="K68" s="5"/>
      <c r="L68" s="5"/>
      <c r="M68" s="5"/>
      <c r="N68" s="5"/>
      <c r="O68" s="5"/>
      <c r="P68" s="5"/>
    </row>
    <row r="69" spans="1:16" ht="19.5" customHeight="1">
      <c r="A69" s="38">
        <v>322</v>
      </c>
      <c r="B69" s="49" t="s">
        <v>210</v>
      </c>
      <c r="C69" s="33">
        <v>0</v>
      </c>
      <c r="D69" s="34">
        <v>4500</v>
      </c>
      <c r="E69" s="34">
        <f>4500+23000</f>
        <v>27500</v>
      </c>
      <c r="F69" s="26">
        <f t="shared" si="0"/>
        <v>611.1111111111111</v>
      </c>
      <c r="G69" s="15"/>
      <c r="H69" s="15"/>
      <c r="I69" s="15"/>
      <c r="J69" s="5"/>
      <c r="K69" s="5"/>
      <c r="L69" s="5"/>
      <c r="M69" s="5"/>
      <c r="N69" s="5"/>
      <c r="O69" s="5"/>
      <c r="P69" s="5"/>
    </row>
    <row r="70" spans="1:16" ht="19.5" customHeight="1">
      <c r="A70" s="38">
        <v>322</v>
      </c>
      <c r="B70" s="49" t="s">
        <v>74</v>
      </c>
      <c r="C70" s="33">
        <v>2558441.38</v>
      </c>
      <c r="D70" s="34">
        <f>643942-574806.1</f>
        <v>69135.90000000002</v>
      </c>
      <c r="E70" s="34">
        <v>20000</v>
      </c>
      <c r="F70" s="26">
        <f t="shared" si="0"/>
        <v>28.92853061868001</v>
      </c>
      <c r="G70" s="15"/>
      <c r="H70" s="15"/>
      <c r="I70" s="15"/>
      <c r="J70" s="5"/>
      <c r="K70" s="5"/>
      <c r="L70" s="5"/>
      <c r="M70" s="5"/>
      <c r="N70" s="5"/>
      <c r="O70" s="5"/>
      <c r="P70" s="5"/>
    </row>
    <row r="71" spans="1:16" ht="19.5" customHeight="1">
      <c r="A71" s="46"/>
      <c r="B71" s="23" t="s">
        <v>75</v>
      </c>
      <c r="C71" s="47">
        <f>C73</f>
        <v>2233986</v>
      </c>
      <c r="D71" s="25">
        <f>D73+D72+D74</f>
        <v>2494376.8</v>
      </c>
      <c r="E71" s="25">
        <f>E73+E72+E74</f>
        <v>1275553.97</v>
      </c>
      <c r="F71" s="26">
        <f t="shared" si="0"/>
        <v>51.13718063766469</v>
      </c>
      <c r="G71" s="15"/>
      <c r="H71" s="15"/>
      <c r="I71" s="15"/>
      <c r="J71" s="5"/>
      <c r="K71" s="5"/>
      <c r="L71" s="5"/>
      <c r="M71" s="5"/>
      <c r="N71" s="5"/>
      <c r="O71" s="5"/>
      <c r="P71" s="5"/>
    </row>
    <row r="72" spans="1:16" ht="19.5" customHeight="1">
      <c r="A72" s="38">
        <v>453</v>
      </c>
      <c r="B72" s="39" t="s">
        <v>76</v>
      </c>
      <c r="C72" s="33">
        <v>0</v>
      </c>
      <c r="D72" s="34">
        <f>33922+387</f>
        <v>34309</v>
      </c>
      <c r="E72" s="34">
        <v>34308.19</v>
      </c>
      <c r="F72" s="26">
        <f t="shared" si="0"/>
        <v>99.99763910344224</v>
      </c>
      <c r="G72" s="15"/>
      <c r="H72" s="15"/>
      <c r="I72" s="15"/>
      <c r="J72" s="5"/>
      <c r="K72" s="5"/>
      <c r="L72" s="5"/>
      <c r="M72" s="5"/>
      <c r="N72" s="5"/>
      <c r="O72" s="5"/>
      <c r="P72" s="5"/>
    </row>
    <row r="73" spans="1:16" ht="19.5" customHeight="1">
      <c r="A73" s="38">
        <v>454</v>
      </c>
      <c r="B73" s="39" t="s">
        <v>77</v>
      </c>
      <c r="C73" s="33">
        <v>2233986</v>
      </c>
      <c r="D73" s="34">
        <f>2461752+50641+260000+72000+2500+13500+10500+43452-454277.2</f>
        <v>2460067.8</v>
      </c>
      <c r="E73" s="34">
        <v>1241245.78</v>
      </c>
      <c r="F73" s="26">
        <f t="shared" si="0"/>
        <v>50.455754918624606</v>
      </c>
      <c r="G73" s="15"/>
      <c r="H73" s="15"/>
      <c r="I73" s="15"/>
      <c r="J73" s="5"/>
      <c r="K73" s="5"/>
      <c r="L73" s="5"/>
      <c r="M73" s="5"/>
      <c r="N73" s="5"/>
      <c r="O73" s="5"/>
      <c r="P73" s="5"/>
    </row>
    <row r="74" spans="1:16" ht="19.5" customHeight="1">
      <c r="A74" s="38">
        <v>456</v>
      </c>
      <c r="B74" s="39" t="s">
        <v>78</v>
      </c>
      <c r="C74" s="33">
        <v>0</v>
      </c>
      <c r="D74" s="34">
        <v>0</v>
      </c>
      <c r="E74" s="34">
        <v>0</v>
      </c>
      <c r="F74" s="26">
        <v>0</v>
      </c>
      <c r="G74" s="15"/>
      <c r="H74" s="15"/>
      <c r="I74" s="15"/>
      <c r="J74" s="5"/>
      <c r="K74" s="5"/>
      <c r="L74" s="5"/>
      <c r="M74" s="5"/>
      <c r="N74" s="5"/>
      <c r="O74" s="5"/>
      <c r="P74" s="5"/>
    </row>
    <row r="75" spans="1:16" ht="19.5" customHeight="1">
      <c r="A75" s="23"/>
      <c r="B75" s="23" t="s">
        <v>79</v>
      </c>
      <c r="C75" s="47">
        <f>C71+C64+C11</f>
        <v>20716229.38</v>
      </c>
      <c r="D75" s="25">
        <f>D71+D64+D11</f>
        <v>17895586.51</v>
      </c>
      <c r="E75" s="25">
        <f>E71+E64+E11</f>
        <v>16124457.559999999</v>
      </c>
      <c r="F75" s="26">
        <f t="shared" si="0"/>
        <v>90.10298461573024</v>
      </c>
      <c r="G75" s="15"/>
      <c r="H75" s="15"/>
      <c r="I75" s="15"/>
      <c r="J75" s="5"/>
      <c r="K75" s="5"/>
      <c r="L75" s="5"/>
      <c r="M75" s="5"/>
      <c r="N75" s="5"/>
      <c r="O75" s="5"/>
      <c r="P75" s="5"/>
    </row>
    <row r="76" spans="3:16" ht="12.75">
      <c r="C76" s="5"/>
      <c r="D76" s="50"/>
      <c r="E76" s="51"/>
      <c r="F76" s="15"/>
      <c r="G76" s="15"/>
      <c r="H76" s="15"/>
      <c r="I76" s="15"/>
      <c r="J76" s="5"/>
      <c r="K76" s="5"/>
      <c r="L76" s="5"/>
      <c r="M76" s="5"/>
      <c r="N76" s="5"/>
      <c r="O76" s="5"/>
      <c r="P76" s="5"/>
    </row>
    <row r="77" spans="1:16" ht="15.75">
      <c r="A77" s="43"/>
      <c r="B77" s="39" t="s">
        <v>80</v>
      </c>
      <c r="C77" s="40">
        <v>1229080</v>
      </c>
      <c r="D77" s="34">
        <v>0</v>
      </c>
      <c r="E77" s="34">
        <v>1072842.13</v>
      </c>
      <c r="F77" s="26">
        <v>0</v>
      </c>
      <c r="G77" s="15"/>
      <c r="H77" s="15"/>
      <c r="I77" s="15"/>
      <c r="J77" s="5"/>
      <c r="K77" s="5"/>
      <c r="L77" s="5"/>
      <c r="M77" s="5"/>
      <c r="N77" s="5"/>
      <c r="O77" s="5"/>
      <c r="P77" s="5"/>
    </row>
    <row r="78" spans="1:16" ht="12.75">
      <c r="A78" s="15"/>
      <c r="B78" s="15"/>
      <c r="C78" s="5"/>
      <c r="D78" s="50"/>
      <c r="E78" s="51"/>
      <c r="F78" s="15"/>
      <c r="G78" s="15"/>
      <c r="H78" s="15"/>
      <c r="I78" s="15"/>
      <c r="J78" s="5"/>
      <c r="K78" s="5"/>
      <c r="L78" s="5"/>
      <c r="M78" s="5"/>
      <c r="N78" s="5"/>
      <c r="O78" s="5"/>
      <c r="P78" s="5"/>
    </row>
    <row r="79" spans="3:16" ht="12.75">
      <c r="C79" s="5"/>
      <c r="D79" s="50"/>
      <c r="E79" s="51"/>
      <c r="F79" s="15"/>
      <c r="G79" s="15"/>
      <c r="H79" s="15"/>
      <c r="I79" s="15"/>
      <c r="J79" s="5"/>
      <c r="K79" s="5"/>
      <c r="L79" s="5"/>
      <c r="M79" s="5"/>
      <c r="N79" s="5"/>
      <c r="O79" s="5"/>
      <c r="P79" s="5"/>
    </row>
    <row r="80" spans="3:16" ht="12.75">
      <c r="C80" s="5"/>
      <c r="D80" s="50"/>
      <c r="E80" s="51"/>
      <c r="F80" s="15"/>
      <c r="G80" s="15"/>
      <c r="H80" s="15"/>
      <c r="I80" s="15"/>
      <c r="J80" s="5"/>
      <c r="K80" s="5"/>
      <c r="L80" s="5"/>
      <c r="M80" s="5"/>
      <c r="N80" s="5"/>
      <c r="O80" s="5"/>
      <c r="P80" s="5"/>
    </row>
    <row r="81" spans="3:16" ht="12.75">
      <c r="C81" s="5"/>
      <c r="D81" s="50"/>
      <c r="E81" s="51"/>
      <c r="F81" s="15"/>
      <c r="G81" s="15"/>
      <c r="H81" s="15"/>
      <c r="I81" s="15"/>
      <c r="J81" s="5"/>
      <c r="K81" s="5"/>
      <c r="L81" s="5"/>
      <c r="M81" s="5"/>
      <c r="N81" s="5"/>
      <c r="O81" s="5"/>
      <c r="P81" s="5"/>
    </row>
    <row r="82" spans="3:16" ht="12.75">
      <c r="C82" s="5"/>
      <c r="D82" s="50"/>
      <c r="E82" s="51"/>
      <c r="F82" s="15"/>
      <c r="G82" s="15"/>
      <c r="H82" s="15"/>
      <c r="I82" s="15"/>
      <c r="J82" s="5"/>
      <c r="K82" s="5"/>
      <c r="L82" s="5"/>
      <c r="M82" s="5"/>
      <c r="N82" s="5"/>
      <c r="O82" s="5"/>
      <c r="P82" s="5"/>
    </row>
    <row r="83" spans="3:16" ht="12.75">
      <c r="C83" s="5"/>
      <c r="D83" s="50"/>
      <c r="E83" s="51"/>
      <c r="F83" s="15"/>
      <c r="G83" s="15"/>
      <c r="H83" s="15"/>
      <c r="I83" s="15"/>
      <c r="J83" s="5"/>
      <c r="K83" s="5"/>
      <c r="L83" s="5"/>
      <c r="M83" s="5"/>
      <c r="N83" s="5"/>
      <c r="O83" s="5"/>
      <c r="P83" s="5"/>
    </row>
    <row r="84" spans="3:16" ht="12.75">
      <c r="C84" s="5"/>
      <c r="D84" s="50"/>
      <c r="E84" s="51"/>
      <c r="F84" s="15"/>
      <c r="G84" s="15"/>
      <c r="H84" s="15"/>
      <c r="I84" s="15"/>
      <c r="J84" s="5"/>
      <c r="K84" s="5"/>
      <c r="L84" s="5"/>
      <c r="M84" s="5"/>
      <c r="N84" s="5"/>
      <c r="O84" s="5"/>
      <c r="P84" s="5"/>
    </row>
    <row r="85" spans="3:16" ht="12.75">
      <c r="C85" s="5"/>
      <c r="D85" s="50"/>
      <c r="E85" s="52"/>
      <c r="F85" s="15"/>
      <c r="G85" s="15"/>
      <c r="H85" s="15"/>
      <c r="I85" s="15"/>
      <c r="J85" s="5"/>
      <c r="K85" s="5"/>
      <c r="L85" s="5"/>
      <c r="M85" s="5"/>
      <c r="N85" s="5"/>
      <c r="O85" s="5"/>
      <c r="P85" s="5"/>
    </row>
    <row r="86" spans="3:16" ht="12.75">
      <c r="C86" s="5"/>
      <c r="D86" s="50"/>
      <c r="E86" s="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</row>
    <row r="87" spans="3:16" ht="12.75">
      <c r="C87" s="5"/>
      <c r="D87" s="50"/>
      <c r="E87" s="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</row>
    <row r="88" spans="3:16" ht="12.75">
      <c r="C88" s="5"/>
      <c r="D88" s="50"/>
      <c r="E88" s="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</row>
    <row r="89" spans="3:16" ht="12.75">
      <c r="C89" s="5"/>
      <c r="D89" s="50"/>
      <c r="E89" s="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</row>
    <row r="90" spans="3:16" ht="12.75">
      <c r="C90" s="5"/>
      <c r="D90" s="50"/>
      <c r="E90" s="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</row>
    <row r="91" spans="3:16" ht="12.75">
      <c r="C91" s="5"/>
      <c r="D91" s="50"/>
      <c r="E91" s="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</row>
    <row r="92" spans="3:16" ht="12.75">
      <c r="C92" s="5"/>
      <c r="D92" s="50"/>
      <c r="E92" s="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</row>
    <row r="93" spans="3:16" ht="12.75">
      <c r="C93" s="5"/>
      <c r="D93" s="5"/>
      <c r="E93" s="5"/>
      <c r="F93" s="15"/>
      <c r="G93" s="15"/>
      <c r="H93" s="15"/>
      <c r="I93" s="15"/>
      <c r="J93" s="5"/>
      <c r="K93" s="5"/>
      <c r="L93" s="5"/>
      <c r="M93" s="5"/>
      <c r="N93" s="5"/>
      <c r="O93" s="5"/>
      <c r="P93" s="5"/>
    </row>
    <row r="94" spans="3:16" ht="12.75">
      <c r="C94" s="5"/>
      <c r="D94" s="5"/>
      <c r="E94" s="5"/>
      <c r="F94" s="15"/>
      <c r="G94" s="15"/>
      <c r="H94" s="15"/>
      <c r="I94" s="15"/>
      <c r="J94" s="5"/>
      <c r="K94" s="5"/>
      <c r="L94" s="5"/>
      <c r="M94" s="5"/>
      <c r="N94" s="5"/>
      <c r="O94" s="5"/>
      <c r="P94" s="5"/>
    </row>
    <row r="95" spans="3:16" ht="12.75">
      <c r="C95" s="5"/>
      <c r="D95" s="5"/>
      <c r="E95" s="5"/>
      <c r="F95" s="15"/>
      <c r="G95" s="15"/>
      <c r="H95" s="15"/>
      <c r="I95" s="15"/>
      <c r="J95" s="5"/>
      <c r="K95" s="5"/>
      <c r="L95" s="5"/>
      <c r="M95" s="5"/>
      <c r="N95" s="5"/>
      <c r="O95" s="5"/>
      <c r="P95" s="5"/>
    </row>
    <row r="96" spans="3:16" ht="12.75">
      <c r="C96" s="5"/>
      <c r="D96" s="5"/>
      <c r="E96" s="5"/>
      <c r="F96" s="15"/>
      <c r="G96" s="15"/>
      <c r="H96" s="15"/>
      <c r="I96" s="15"/>
      <c r="J96" s="5"/>
      <c r="K96" s="5"/>
      <c r="L96" s="5"/>
      <c r="M96" s="5"/>
      <c r="N96" s="5"/>
      <c r="O96" s="5"/>
      <c r="P96" s="5"/>
    </row>
    <row r="97" spans="3:16" ht="12.75">
      <c r="C97" s="5"/>
      <c r="D97" s="5"/>
      <c r="E97" s="5"/>
      <c r="F97" s="5"/>
      <c r="G97" s="15"/>
      <c r="H97" s="15"/>
      <c r="I97" s="15"/>
      <c r="J97" s="5"/>
      <c r="K97" s="5"/>
      <c r="L97" s="5"/>
      <c r="M97" s="5"/>
      <c r="N97" s="5"/>
      <c r="O97" s="5"/>
      <c r="P97" s="5"/>
    </row>
    <row r="98" spans="3:1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3:1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3:1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3:1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3:1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3:1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3:1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3:1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3:1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3:1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3:1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3:1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3:1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3:1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3:1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3:1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3:1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3:1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3:1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3:1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3:1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3:1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3:1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3:1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3:1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3:1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3:1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3:1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3:1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3:1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3:1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3:1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3:1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3:1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3:1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3:1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3:1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3:1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3:1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3:1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3:1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3:1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3:1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3:1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3:1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3:1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3:1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3:1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3:1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3:1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3:1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3:1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3:1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3:1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3:1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3:1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3:1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3:1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3:1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3:1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3:1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3:1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3:1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3:1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3:1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3:1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3:1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3:1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3:1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3:1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3:1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3:1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3:1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3:1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3:1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3:1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3:1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3:1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3:1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3:1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3:1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3:1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3:1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3:1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3:1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3:1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3:1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3:1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3:1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3:1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3:1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3:1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3:1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3:1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3:1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3:1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3:1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3:1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3:1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3:1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3:1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3:1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3:1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3:1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3:1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3:1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3:1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3:1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3:1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3:1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3:1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3:1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3:1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3:1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3:1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3:1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3:1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3:1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3:1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3:1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3:16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3:16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3:16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3:16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</sheetData>
  <mergeCells count="1">
    <mergeCell ref="A9:B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5"/>
  <sheetViews>
    <sheetView workbookViewId="0" topLeftCell="A35">
      <selection activeCell="H60" sqref="H60"/>
    </sheetView>
  </sheetViews>
  <sheetFormatPr defaultColWidth="9.140625" defaultRowHeight="12.75"/>
  <cols>
    <col min="2" max="2" width="7.00390625" style="0" customWidth="1"/>
    <col min="3" max="3" width="56.7109375" style="0" customWidth="1"/>
    <col min="4" max="4" width="23.7109375" style="0" customWidth="1"/>
    <col min="5" max="5" width="22.8515625" style="0" customWidth="1"/>
    <col min="6" max="6" width="22.57421875" style="0" customWidth="1"/>
    <col min="7" max="7" width="15.28125" style="0" customWidth="1"/>
    <col min="8" max="8" width="13.140625" style="0" bestFit="1" customWidth="1"/>
    <col min="9" max="9" width="13.57421875" style="0" customWidth="1"/>
    <col min="11" max="11" width="14.00390625" style="0" bestFit="1" customWidth="1"/>
    <col min="13" max="13" width="11.28125" style="0" bestFit="1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9" ht="18.75">
      <c r="A3" s="1" t="s">
        <v>2</v>
      </c>
      <c r="B3" s="2"/>
      <c r="C3" s="6"/>
      <c r="D3" s="53"/>
      <c r="E3" s="53"/>
      <c r="F3" s="53"/>
      <c r="G3" s="15"/>
      <c r="H3" s="54"/>
      <c r="I3" s="54"/>
    </row>
    <row r="4" spans="1:9" ht="18.75">
      <c r="A4" s="1"/>
      <c r="B4" s="2"/>
      <c r="C4" s="6"/>
      <c r="D4" s="53"/>
      <c r="E4" s="53"/>
      <c r="F4" s="53"/>
      <c r="G4" s="15"/>
      <c r="H4" s="54"/>
      <c r="I4" s="54"/>
    </row>
    <row r="5" spans="1:9" ht="25.5">
      <c r="A5" s="7" t="s">
        <v>81</v>
      </c>
      <c r="B5" s="6"/>
      <c r="C5" s="6"/>
      <c r="D5" s="53"/>
      <c r="E5" s="53"/>
      <c r="F5" s="55"/>
      <c r="G5" s="6"/>
      <c r="H5" s="6"/>
      <c r="I5" s="54"/>
    </row>
    <row r="6" spans="1:9" ht="25.5">
      <c r="A6" s="7" t="s">
        <v>82</v>
      </c>
      <c r="B6" s="6"/>
      <c r="C6" s="6"/>
      <c r="D6" s="53"/>
      <c r="E6" s="53"/>
      <c r="F6" s="55"/>
      <c r="G6" s="6"/>
      <c r="H6" s="6"/>
      <c r="I6" s="54"/>
    </row>
    <row r="7" spans="1:9" ht="12.75">
      <c r="A7" s="56"/>
      <c r="B7" s="56"/>
      <c r="C7" s="56"/>
      <c r="D7" s="57"/>
      <c r="E7" s="57"/>
      <c r="F7" s="15"/>
      <c r="G7" s="15"/>
      <c r="H7" s="54"/>
      <c r="I7" s="54"/>
    </row>
    <row r="8" spans="1:10" ht="15.75">
      <c r="A8" s="58"/>
      <c r="B8" s="59"/>
      <c r="C8" s="60"/>
      <c r="D8" s="12" t="s">
        <v>5</v>
      </c>
      <c r="E8" s="13" t="s">
        <v>6</v>
      </c>
      <c r="F8" s="14" t="s">
        <v>7</v>
      </c>
      <c r="G8" s="13" t="s">
        <v>8</v>
      </c>
      <c r="H8" s="61"/>
      <c r="I8" s="61"/>
      <c r="J8" s="15"/>
    </row>
    <row r="9" spans="1:10" ht="15.75">
      <c r="A9" s="85" t="s">
        <v>83</v>
      </c>
      <c r="B9" s="86"/>
      <c r="C9" s="87"/>
      <c r="D9" s="16" t="s">
        <v>10</v>
      </c>
      <c r="E9" s="17" t="s">
        <v>11</v>
      </c>
      <c r="F9" s="18" t="s">
        <v>12</v>
      </c>
      <c r="G9" s="17" t="s">
        <v>13</v>
      </c>
      <c r="H9" s="62"/>
      <c r="I9" s="62"/>
      <c r="J9" s="15"/>
    </row>
    <row r="10" spans="1:10" ht="15.75">
      <c r="A10" s="63"/>
      <c r="B10" s="64"/>
      <c r="C10" s="65" t="s">
        <v>14</v>
      </c>
      <c r="D10" s="16">
        <v>2013</v>
      </c>
      <c r="E10" s="21" t="s">
        <v>15</v>
      </c>
      <c r="F10" s="18">
        <v>2013</v>
      </c>
      <c r="G10" s="17">
        <v>2013</v>
      </c>
      <c r="H10" s="61"/>
      <c r="I10" s="61"/>
      <c r="J10" s="15"/>
    </row>
    <row r="11" spans="1:24" ht="19.5" customHeight="1">
      <c r="A11" s="66" t="s">
        <v>84</v>
      </c>
      <c r="B11" s="67" t="s">
        <v>85</v>
      </c>
      <c r="C11" s="23" t="s">
        <v>86</v>
      </c>
      <c r="D11" s="47">
        <f>D12+D19+D21+D24+D28+D32+D36+D43+D49</f>
        <v>15577052</v>
      </c>
      <c r="E11" s="25">
        <f>E12+E19+E21+E24+E28+E32+E36+E43+E49</f>
        <v>14980820.81</v>
      </c>
      <c r="F11" s="25">
        <f>F12+F19+F21+F24+F28+F32+F36+F43+F49</f>
        <v>14294147.260000002</v>
      </c>
      <c r="G11" s="26">
        <f>F11*100/E11</f>
        <v>95.41631557636929</v>
      </c>
      <c r="H11" s="61"/>
      <c r="I11" s="61"/>
      <c r="J11" s="1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9.5" customHeight="1">
      <c r="A12" s="68" t="s">
        <v>87</v>
      </c>
      <c r="B12" s="68" t="s">
        <v>88</v>
      </c>
      <c r="C12" s="68" t="s">
        <v>89</v>
      </c>
      <c r="D12" s="37">
        <f>D13+D14+D15+D16+D17+D18</f>
        <v>2826906</v>
      </c>
      <c r="E12" s="30">
        <f>E13+E14+E15+E16+E17+E18</f>
        <v>2705669.15</v>
      </c>
      <c r="F12" s="30">
        <f>F13+F14+F15+F16+F17+F18</f>
        <v>2525188.9600000004</v>
      </c>
      <c r="G12" s="26">
        <f aca="true" t="shared" si="0" ref="G12:G75">F12*100/E12</f>
        <v>93.32955435441914</v>
      </c>
      <c r="H12" s="61"/>
      <c r="I12" s="61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9.5" customHeight="1">
      <c r="A13" s="69" t="s">
        <v>90</v>
      </c>
      <c r="B13" s="69" t="s">
        <v>90</v>
      </c>
      <c r="C13" s="69" t="s">
        <v>91</v>
      </c>
      <c r="D13" s="40">
        <v>2555919</v>
      </c>
      <c r="E13" s="34">
        <f>2312007+24000+3000-209.62-400-1833-5000-494-82-9960+11660+36-5000-23+25000+1000+8000+2000-3866</f>
        <v>2359835.38</v>
      </c>
      <c r="F13" s="34">
        <v>2252961.24</v>
      </c>
      <c r="G13" s="26">
        <f t="shared" si="0"/>
        <v>95.47111883711145</v>
      </c>
      <c r="H13" s="70"/>
      <c r="I13" s="61"/>
      <c r="J13" s="1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9.5" customHeight="1">
      <c r="A14" s="69" t="s">
        <v>92</v>
      </c>
      <c r="B14" s="69" t="s">
        <v>92</v>
      </c>
      <c r="C14" s="39" t="s">
        <v>93</v>
      </c>
      <c r="D14" s="40">
        <v>61990</v>
      </c>
      <c r="E14" s="34">
        <f>62890-200</f>
        <v>62690</v>
      </c>
      <c r="F14" s="34">
        <v>53980.29</v>
      </c>
      <c r="G14" s="26">
        <f t="shared" si="0"/>
        <v>86.10669963311533</v>
      </c>
      <c r="H14" s="61"/>
      <c r="I14" s="61"/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9.5" customHeight="1">
      <c r="A15" s="69" t="s">
        <v>94</v>
      </c>
      <c r="B15" s="69" t="s">
        <v>95</v>
      </c>
      <c r="C15" s="39" t="s">
        <v>96</v>
      </c>
      <c r="D15" s="40">
        <v>103713</v>
      </c>
      <c r="E15" s="34">
        <f>105418+0.19</f>
        <v>105418.19</v>
      </c>
      <c r="F15" s="34">
        <v>100941.66</v>
      </c>
      <c r="G15" s="26">
        <f t="shared" si="0"/>
        <v>95.7535506917734</v>
      </c>
      <c r="H15" s="61"/>
      <c r="I15" s="61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69" t="s">
        <v>97</v>
      </c>
      <c r="B16" s="69" t="s">
        <v>98</v>
      </c>
      <c r="C16" s="39" t="s">
        <v>99</v>
      </c>
      <c r="D16" s="40">
        <v>39000</v>
      </c>
      <c r="E16" s="34">
        <f>39000+10280</f>
        <v>49280</v>
      </c>
      <c r="F16" s="34">
        <v>49280</v>
      </c>
      <c r="G16" s="26">
        <f t="shared" si="0"/>
        <v>100</v>
      </c>
      <c r="H16" s="71"/>
      <c r="I16" s="61"/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9.5" customHeight="1">
      <c r="A17" s="69" t="s">
        <v>100</v>
      </c>
      <c r="B17" s="69" t="s">
        <v>98</v>
      </c>
      <c r="C17" s="39" t="s">
        <v>101</v>
      </c>
      <c r="D17" s="40">
        <f>30074-290</f>
        <v>29784</v>
      </c>
      <c r="E17" s="34">
        <f>25035-0.42</f>
        <v>25034.58</v>
      </c>
      <c r="F17" s="34">
        <v>16768.25</v>
      </c>
      <c r="G17" s="26">
        <f t="shared" si="0"/>
        <v>66.98035277604018</v>
      </c>
      <c r="H17" s="61"/>
      <c r="I17" s="61"/>
      <c r="J17" s="1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9.5" customHeight="1">
      <c r="A18" s="69" t="s">
        <v>102</v>
      </c>
      <c r="B18" s="69" t="s">
        <v>103</v>
      </c>
      <c r="C18" s="39" t="s">
        <v>104</v>
      </c>
      <c r="D18" s="40">
        <v>36500</v>
      </c>
      <c r="E18" s="34">
        <f>36500+50800+9000+3500+3611-4000+4000</f>
        <v>103411</v>
      </c>
      <c r="F18" s="34">
        <v>51257.52</v>
      </c>
      <c r="G18" s="26">
        <f t="shared" si="0"/>
        <v>49.56679656903037</v>
      </c>
      <c r="H18" s="61"/>
      <c r="I18" s="61"/>
      <c r="J18" s="1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9.5" customHeight="1">
      <c r="A19" s="68" t="s">
        <v>105</v>
      </c>
      <c r="B19" s="68" t="s">
        <v>106</v>
      </c>
      <c r="C19" s="28" t="s">
        <v>107</v>
      </c>
      <c r="D19" s="37">
        <f>SUM(D20)</f>
        <v>3829</v>
      </c>
      <c r="E19" s="30">
        <f>SUM(E20)</f>
        <v>3829</v>
      </c>
      <c r="F19" s="30">
        <f>SUM(F20)</f>
        <v>2432.33</v>
      </c>
      <c r="G19" s="26">
        <f t="shared" si="0"/>
        <v>63.52389657874119</v>
      </c>
      <c r="H19" s="61"/>
      <c r="I19" s="61"/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9.5" customHeight="1">
      <c r="A20" s="69" t="s">
        <v>108</v>
      </c>
      <c r="B20" s="69" t="s">
        <v>109</v>
      </c>
      <c r="C20" s="39" t="s">
        <v>110</v>
      </c>
      <c r="D20" s="40">
        <v>3829</v>
      </c>
      <c r="E20" s="34">
        <v>3829</v>
      </c>
      <c r="F20" s="34">
        <v>2432.33</v>
      </c>
      <c r="G20" s="26">
        <f t="shared" si="0"/>
        <v>63.52389657874119</v>
      </c>
      <c r="H20" s="61"/>
      <c r="I20" s="61"/>
      <c r="J20" s="1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9.5" customHeight="1">
      <c r="A21" s="68" t="s">
        <v>111</v>
      </c>
      <c r="B21" s="68" t="s">
        <v>112</v>
      </c>
      <c r="C21" s="28" t="s">
        <v>113</v>
      </c>
      <c r="D21" s="37">
        <f>SUM(D22:D23)</f>
        <v>108782</v>
      </c>
      <c r="E21" s="30">
        <f>SUM(E22:E23)</f>
        <v>106564</v>
      </c>
      <c r="F21" s="30">
        <f>SUM(F22:F23)</f>
        <v>102924.56999999999</v>
      </c>
      <c r="G21" s="26">
        <f t="shared" si="0"/>
        <v>96.5847471941744</v>
      </c>
      <c r="H21" s="61"/>
      <c r="I21" s="61"/>
      <c r="J21" s="1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9.5" customHeight="1">
      <c r="A22" s="69" t="s">
        <v>114</v>
      </c>
      <c r="B22" s="69" t="s">
        <v>109</v>
      </c>
      <c r="C22" s="39" t="s">
        <v>115</v>
      </c>
      <c r="D22" s="40">
        <v>462</v>
      </c>
      <c r="E22" s="34">
        <v>462</v>
      </c>
      <c r="F22" s="34">
        <v>116.18</v>
      </c>
      <c r="G22" s="26">
        <f t="shared" si="0"/>
        <v>25.147186147186147</v>
      </c>
      <c r="H22" s="61"/>
      <c r="I22" s="61"/>
      <c r="J22" s="1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9.5" customHeight="1">
      <c r="A23" s="69" t="s">
        <v>116</v>
      </c>
      <c r="B23" s="69" t="s">
        <v>98</v>
      </c>
      <c r="C23" s="39" t="s">
        <v>117</v>
      </c>
      <c r="D23" s="40">
        <v>108320</v>
      </c>
      <c r="E23" s="34">
        <f>106020+82</f>
        <v>106102</v>
      </c>
      <c r="F23" s="34">
        <v>102808.39</v>
      </c>
      <c r="G23" s="26">
        <f t="shared" si="0"/>
        <v>96.89580780758138</v>
      </c>
      <c r="H23" s="61"/>
      <c r="I23" s="61"/>
      <c r="J23" s="1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9.5" customHeight="1">
      <c r="A24" s="68" t="s">
        <v>118</v>
      </c>
      <c r="B24" s="68" t="s">
        <v>119</v>
      </c>
      <c r="C24" s="28" t="s">
        <v>120</v>
      </c>
      <c r="D24" s="37">
        <f>SUM(D25:D27)</f>
        <v>608357</v>
      </c>
      <c r="E24" s="30">
        <f>SUM(E25:E27)</f>
        <v>516375.18</v>
      </c>
      <c r="F24" s="30">
        <f>SUM(F25:F27)</f>
        <v>382012.52</v>
      </c>
      <c r="G24" s="26">
        <f t="shared" si="0"/>
        <v>73.97964402549324</v>
      </c>
      <c r="H24" s="61"/>
      <c r="I24" s="61"/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9.5" customHeight="1">
      <c r="A25" s="69" t="s">
        <v>121</v>
      </c>
      <c r="B25" s="69" t="s">
        <v>122</v>
      </c>
      <c r="C25" s="39" t="s">
        <v>123</v>
      </c>
      <c r="D25" s="40">
        <v>19000</v>
      </c>
      <c r="E25" s="34">
        <f>19000+9000-9000-1000</f>
        <v>18000</v>
      </c>
      <c r="F25" s="34">
        <v>5500</v>
      </c>
      <c r="G25" s="26">
        <f t="shared" si="0"/>
        <v>30.555555555555557</v>
      </c>
      <c r="H25" s="61"/>
      <c r="I25" s="61"/>
      <c r="J25" s="1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9.5" customHeight="1">
      <c r="A26" s="69" t="s">
        <v>124</v>
      </c>
      <c r="B26" s="69" t="s">
        <v>122</v>
      </c>
      <c r="C26" s="39" t="s">
        <v>125</v>
      </c>
      <c r="D26" s="40">
        <f>299420-1770</f>
        <v>297650</v>
      </c>
      <c r="E26" s="34">
        <f>220022-254+0.18</f>
        <v>219768.18</v>
      </c>
      <c r="F26" s="34">
        <v>179317.96</v>
      </c>
      <c r="G26" s="26">
        <f t="shared" si="0"/>
        <v>81.59414160867146</v>
      </c>
      <c r="H26" s="71"/>
      <c r="I26" s="61"/>
      <c r="J26" s="1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9.5" customHeight="1">
      <c r="A27" s="69" t="s">
        <v>122</v>
      </c>
      <c r="B27" s="69" t="s">
        <v>126</v>
      </c>
      <c r="C27" s="39" t="s">
        <v>127</v>
      </c>
      <c r="D27" s="40">
        <v>291707</v>
      </c>
      <c r="E27" s="34">
        <f>291707-5100-8000-880+880</f>
        <v>278607</v>
      </c>
      <c r="F27" s="34">
        <v>197194.56</v>
      </c>
      <c r="G27" s="26">
        <f t="shared" si="0"/>
        <v>70.7787528669416</v>
      </c>
      <c r="H27" s="61"/>
      <c r="I27" s="61"/>
      <c r="J27" s="1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9.5" customHeight="1">
      <c r="A28" s="68" t="s">
        <v>128</v>
      </c>
      <c r="B28" s="68" t="s">
        <v>129</v>
      </c>
      <c r="C28" s="28" t="s">
        <v>130</v>
      </c>
      <c r="D28" s="37">
        <f>SUM(D29:D31)</f>
        <v>142600</v>
      </c>
      <c r="E28" s="30">
        <f>SUM(E29:E31)</f>
        <v>91000</v>
      </c>
      <c r="F28" s="30">
        <f>SUM(F29:F31)</f>
        <v>73384.55</v>
      </c>
      <c r="G28" s="26">
        <f t="shared" si="0"/>
        <v>80.64236263736264</v>
      </c>
      <c r="H28" s="61"/>
      <c r="I28" s="61"/>
      <c r="J28" s="1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9.5" customHeight="1">
      <c r="A29" s="69" t="s">
        <v>126</v>
      </c>
      <c r="B29" s="69" t="s">
        <v>131</v>
      </c>
      <c r="C29" s="39" t="s">
        <v>132</v>
      </c>
      <c r="D29" s="40">
        <v>59600</v>
      </c>
      <c r="E29" s="34">
        <f>59600-5700+1000</f>
        <v>54900</v>
      </c>
      <c r="F29" s="34">
        <v>46886.3</v>
      </c>
      <c r="G29" s="26">
        <f t="shared" si="0"/>
        <v>85.4030965391621</v>
      </c>
      <c r="H29" s="61"/>
      <c r="I29" s="61"/>
      <c r="J29" s="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9.5" customHeight="1">
      <c r="A30" s="69" t="s">
        <v>133</v>
      </c>
      <c r="B30" s="69" t="s">
        <v>134</v>
      </c>
      <c r="C30" s="39" t="s">
        <v>135</v>
      </c>
      <c r="D30" s="40">
        <v>17500</v>
      </c>
      <c r="E30" s="34">
        <f>17500-3000</f>
        <v>14500</v>
      </c>
      <c r="F30" s="34">
        <v>12447.96</v>
      </c>
      <c r="G30" s="26">
        <f t="shared" si="0"/>
        <v>85.848</v>
      </c>
      <c r="H30" s="61"/>
      <c r="I30" s="61"/>
      <c r="J30" s="1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9.5" customHeight="1">
      <c r="A31" s="69" t="s">
        <v>136</v>
      </c>
      <c r="B31" s="69" t="s">
        <v>98</v>
      </c>
      <c r="C31" s="39" t="s">
        <v>137</v>
      </c>
      <c r="D31" s="40">
        <v>65500</v>
      </c>
      <c r="E31" s="34">
        <f>65500-30000-3000-1000-9900</f>
        <v>21600</v>
      </c>
      <c r="F31" s="34">
        <v>14050.29</v>
      </c>
      <c r="G31" s="26">
        <f t="shared" si="0"/>
        <v>65.04763888888888</v>
      </c>
      <c r="H31" s="61"/>
      <c r="I31" s="61"/>
      <c r="J31" s="1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9.5" customHeight="1">
      <c r="A32" s="68" t="s">
        <v>138</v>
      </c>
      <c r="B32" s="68" t="s">
        <v>139</v>
      </c>
      <c r="C32" s="28" t="s">
        <v>140</v>
      </c>
      <c r="D32" s="37">
        <f>SUM(D33:D35)</f>
        <v>3967211</v>
      </c>
      <c r="E32" s="30">
        <f>SUM(E33:E35)</f>
        <v>3083172.58</v>
      </c>
      <c r="F32" s="30">
        <f>SUM(F33:F35)</f>
        <v>2856347.7399999998</v>
      </c>
      <c r="G32" s="26">
        <f t="shared" si="0"/>
        <v>92.64313514360587</v>
      </c>
      <c r="H32" s="61"/>
      <c r="I32" s="61"/>
      <c r="J32" s="1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9.5" customHeight="1">
      <c r="A33" s="69" t="s">
        <v>141</v>
      </c>
      <c r="B33" s="69" t="s">
        <v>131</v>
      </c>
      <c r="C33" s="39" t="s">
        <v>142</v>
      </c>
      <c r="D33" s="40">
        <v>14420</v>
      </c>
      <c r="E33" s="34">
        <f>15493-0.02-0.4</f>
        <v>15492.58</v>
      </c>
      <c r="F33" s="34">
        <v>14597.02</v>
      </c>
      <c r="G33" s="26">
        <f t="shared" si="0"/>
        <v>94.21942633183112</v>
      </c>
      <c r="H33" s="61"/>
      <c r="I33" s="61"/>
      <c r="J33" s="1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9.5" customHeight="1">
      <c r="A34" s="69" t="s">
        <v>143</v>
      </c>
      <c r="B34" s="69" t="s">
        <v>109</v>
      </c>
      <c r="C34" s="39" t="s">
        <v>144</v>
      </c>
      <c r="D34" s="40">
        <v>3029080</v>
      </c>
      <c r="E34" s="34">
        <f>3029080+421-72100+8000+400+1833+494-748000</f>
        <v>2220128</v>
      </c>
      <c r="F34" s="34">
        <v>2153675.59</v>
      </c>
      <c r="G34" s="26">
        <f t="shared" si="0"/>
        <v>97.0068207779011</v>
      </c>
      <c r="H34" s="45"/>
      <c r="I34" s="45"/>
      <c r="J34" s="1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9.5" customHeight="1">
      <c r="A35" s="69" t="s">
        <v>145</v>
      </c>
      <c r="B35" s="69" t="s">
        <v>98</v>
      </c>
      <c r="C35" s="39" t="s">
        <v>146</v>
      </c>
      <c r="D35" s="40">
        <v>923711</v>
      </c>
      <c r="E35" s="34">
        <f>849931-1500-879</f>
        <v>847552</v>
      </c>
      <c r="F35" s="34">
        <v>688075.13</v>
      </c>
      <c r="G35" s="26">
        <f t="shared" si="0"/>
        <v>81.18382470928037</v>
      </c>
      <c r="H35" s="61"/>
      <c r="I35" s="61"/>
      <c r="J35" s="1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9.5" customHeight="1">
      <c r="A36" s="68" t="s">
        <v>147</v>
      </c>
      <c r="B36" s="68" t="s">
        <v>148</v>
      </c>
      <c r="C36" s="28" t="s">
        <v>149</v>
      </c>
      <c r="D36" s="37">
        <f>SUM(D37:D42)</f>
        <v>1106621</v>
      </c>
      <c r="E36" s="30">
        <f>SUM(E37:E42)</f>
        <v>1104700</v>
      </c>
      <c r="F36" s="30">
        <f>SUM(F37:F42)</f>
        <v>1076633.3699999999</v>
      </c>
      <c r="G36" s="26">
        <f t="shared" si="0"/>
        <v>97.4593437132253</v>
      </c>
      <c r="H36" s="61"/>
      <c r="I36" s="61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9.5" customHeight="1">
      <c r="A37" s="69" t="s">
        <v>150</v>
      </c>
      <c r="B37" s="69" t="s">
        <v>131</v>
      </c>
      <c r="C37" s="39" t="s">
        <v>151</v>
      </c>
      <c r="D37" s="40">
        <v>18577</v>
      </c>
      <c r="E37" s="34">
        <f>13156+110+2539</f>
        <v>15805</v>
      </c>
      <c r="F37" s="34">
        <v>12910.06</v>
      </c>
      <c r="G37" s="26">
        <f t="shared" si="0"/>
        <v>81.68339133185701</v>
      </c>
      <c r="H37" s="61"/>
      <c r="I37" s="61"/>
      <c r="J37" s="1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9.5" customHeight="1">
      <c r="A38" s="69" t="s">
        <v>152</v>
      </c>
      <c r="B38" s="69" t="s">
        <v>131</v>
      </c>
      <c r="C38" s="39" t="s">
        <v>39</v>
      </c>
      <c r="D38" s="40">
        <v>18790</v>
      </c>
      <c r="E38" s="34">
        <f>18790+257</f>
        <v>19047</v>
      </c>
      <c r="F38" s="34">
        <v>18796.37</v>
      </c>
      <c r="G38" s="26">
        <f t="shared" si="0"/>
        <v>98.68414973486638</v>
      </c>
      <c r="H38" s="61"/>
      <c r="I38" s="61"/>
      <c r="J38" s="1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9.5" customHeight="1">
      <c r="A39" s="69" t="s">
        <v>153</v>
      </c>
      <c r="B39" s="69" t="s">
        <v>109</v>
      </c>
      <c r="C39" s="39" t="s">
        <v>41</v>
      </c>
      <c r="D39" s="40">
        <v>517800</v>
      </c>
      <c r="E39" s="34">
        <f>517800-17000+9000</f>
        <v>509800</v>
      </c>
      <c r="F39" s="34">
        <v>503958.84</v>
      </c>
      <c r="G39" s="26">
        <f t="shared" si="0"/>
        <v>98.85422518634759</v>
      </c>
      <c r="H39" s="45"/>
      <c r="I39" s="45"/>
      <c r="J39" s="1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9.5" customHeight="1">
      <c r="A40" s="69" t="s">
        <v>154</v>
      </c>
      <c r="B40" s="69" t="s">
        <v>155</v>
      </c>
      <c r="C40" s="39" t="s">
        <v>42</v>
      </c>
      <c r="D40" s="40">
        <v>252049</v>
      </c>
      <c r="E40" s="34">
        <f>252049-4000</f>
        <v>248049</v>
      </c>
      <c r="F40" s="34">
        <v>247949.23</v>
      </c>
      <c r="G40" s="26">
        <f t="shared" si="0"/>
        <v>99.95977810835763</v>
      </c>
      <c r="H40" s="45"/>
      <c r="I40" s="45"/>
      <c r="J40" s="1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9.5" customHeight="1">
      <c r="A41" s="69" t="s">
        <v>156</v>
      </c>
      <c r="B41" s="69" t="s">
        <v>157</v>
      </c>
      <c r="C41" s="39" t="s">
        <v>158</v>
      </c>
      <c r="D41" s="40">
        <v>100964</v>
      </c>
      <c r="E41" s="34">
        <f>100964-3500-1500+5500-110-2539+20000-2768.7-257</f>
        <v>115789.3</v>
      </c>
      <c r="F41" s="34">
        <v>101972.2</v>
      </c>
      <c r="G41" s="26">
        <f t="shared" si="0"/>
        <v>88.06703210054815</v>
      </c>
      <c r="H41" s="61"/>
      <c r="I41" s="61"/>
      <c r="J41" s="1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9.5" customHeight="1">
      <c r="A42" s="69" t="s">
        <v>159</v>
      </c>
      <c r="B42" s="69" t="s">
        <v>160</v>
      </c>
      <c r="C42" s="39" t="s">
        <v>161</v>
      </c>
      <c r="D42" s="40">
        <v>198441</v>
      </c>
      <c r="E42" s="34">
        <f>198441-5000+2768.7</f>
        <v>196209.7</v>
      </c>
      <c r="F42" s="34">
        <v>191046.67</v>
      </c>
      <c r="G42" s="26">
        <f t="shared" si="0"/>
        <v>97.36861633242393</v>
      </c>
      <c r="H42" s="61"/>
      <c r="I42" s="61"/>
      <c r="J42" s="1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9.5" customHeight="1">
      <c r="A43" s="68" t="s">
        <v>162</v>
      </c>
      <c r="B43" s="68" t="s">
        <v>163</v>
      </c>
      <c r="C43" s="28" t="s">
        <v>164</v>
      </c>
      <c r="D43" s="37">
        <f>SUM(D44:D48)</f>
        <v>6174923</v>
      </c>
      <c r="E43" s="30">
        <f>SUM(E44:E48)</f>
        <v>6740147.14</v>
      </c>
      <c r="F43" s="30">
        <f>SUM(F44:F48)</f>
        <v>6721439.33</v>
      </c>
      <c r="G43" s="26">
        <f t="shared" si="0"/>
        <v>99.72244211274</v>
      </c>
      <c r="H43" s="61"/>
      <c r="I43" s="61"/>
      <c r="J43" s="1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9.5" customHeight="1">
      <c r="A44" s="69" t="s">
        <v>165</v>
      </c>
      <c r="B44" s="69" t="s">
        <v>90</v>
      </c>
      <c r="C44" s="39" t="s">
        <v>166</v>
      </c>
      <c r="D44" s="33">
        <v>156830</v>
      </c>
      <c r="E44" s="34">
        <v>156830</v>
      </c>
      <c r="F44" s="34">
        <v>149613.72</v>
      </c>
      <c r="G44" s="26">
        <f t="shared" si="0"/>
        <v>95.3986609704776</v>
      </c>
      <c r="H44" s="61"/>
      <c r="I44" s="61"/>
      <c r="J44" s="1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9.5" customHeight="1">
      <c r="A45" s="69" t="s">
        <v>167</v>
      </c>
      <c r="B45" s="69" t="s">
        <v>92</v>
      </c>
      <c r="C45" s="39" t="s">
        <v>168</v>
      </c>
      <c r="D45" s="72">
        <v>5867689</v>
      </c>
      <c r="E45" s="34">
        <f>6118737-176+220.3+298.8+5591.8+1095+378+0.15+452.95+7692.02+9500+1621+920.63+463+554+52+8150+208.95+931-49790+41168.66+2880+249+358.85+279+3077+191.35+1107+41168.33+75740+4000+4000+5749.78+1684.7+3598.08-8150-4000+2600</f>
        <v>6282602.35</v>
      </c>
      <c r="F45" s="34">
        <v>6347941.18</v>
      </c>
      <c r="G45" s="26">
        <f t="shared" si="0"/>
        <v>101.0399962684253</v>
      </c>
      <c r="H45" s="45"/>
      <c r="I45" s="45"/>
      <c r="J45" s="15"/>
      <c r="K45" s="4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9.5" customHeight="1">
      <c r="A46" s="69" t="s">
        <v>167</v>
      </c>
      <c r="B46" s="69" t="s">
        <v>92</v>
      </c>
      <c r="C46" s="39" t="s">
        <v>169</v>
      </c>
      <c r="D46" s="33">
        <v>100000</v>
      </c>
      <c r="E46" s="34">
        <f>150013-7692.02-920.63+110000-8150+7000+7400-7000-4000-5749.78-1684.7-3598.08+8150</f>
        <v>243767.79</v>
      </c>
      <c r="F46" s="34">
        <v>178344.61</v>
      </c>
      <c r="G46" s="26">
        <f t="shared" si="0"/>
        <v>73.16167981011765</v>
      </c>
      <c r="H46" s="45"/>
      <c r="I46" s="61"/>
      <c r="J46" s="1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9.5" customHeight="1">
      <c r="A47" s="69" t="s">
        <v>170</v>
      </c>
      <c r="B47" s="69" t="s">
        <v>171</v>
      </c>
      <c r="C47" s="39" t="s">
        <v>172</v>
      </c>
      <c r="D47" s="33">
        <f>45089-685</f>
        <v>44404</v>
      </c>
      <c r="E47" s="34">
        <f>43947+7000</f>
        <v>50947</v>
      </c>
      <c r="F47" s="34">
        <v>42688.28</v>
      </c>
      <c r="G47" s="26">
        <f t="shared" si="0"/>
        <v>83.78958525526528</v>
      </c>
      <c r="H47" s="73"/>
      <c r="I47" s="61"/>
      <c r="J47" s="1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9.5" customHeight="1">
      <c r="A48" s="69" t="s">
        <v>173</v>
      </c>
      <c r="B48" s="69" t="s">
        <v>174</v>
      </c>
      <c r="C48" s="39" t="s">
        <v>175</v>
      </c>
      <c r="D48" s="33">
        <v>6000</v>
      </c>
      <c r="E48" s="34">
        <v>6000</v>
      </c>
      <c r="F48" s="34">
        <v>2851.54</v>
      </c>
      <c r="G48" s="26">
        <f t="shared" si="0"/>
        <v>47.525666666666666</v>
      </c>
      <c r="H48" s="61"/>
      <c r="I48" s="61"/>
      <c r="J48" s="1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9.5" customHeight="1">
      <c r="A49" s="68" t="s">
        <v>176</v>
      </c>
      <c r="B49" s="68" t="s">
        <v>177</v>
      </c>
      <c r="C49" s="28" t="s">
        <v>178</v>
      </c>
      <c r="D49" s="37">
        <f>SUM(D50:D55)</f>
        <v>637823</v>
      </c>
      <c r="E49" s="30">
        <f>SUM(E50:E55)</f>
        <v>629363.76</v>
      </c>
      <c r="F49" s="30">
        <f>SUM(F50:F55)</f>
        <v>553783.89</v>
      </c>
      <c r="G49" s="26">
        <f t="shared" si="0"/>
        <v>87.99106735983655</v>
      </c>
      <c r="H49" s="61"/>
      <c r="I49" s="61"/>
      <c r="J49" s="1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9.5" customHeight="1">
      <c r="A50" s="69" t="s">
        <v>179</v>
      </c>
      <c r="B50" s="69" t="s">
        <v>180</v>
      </c>
      <c r="C50" s="39" t="s">
        <v>181</v>
      </c>
      <c r="D50" s="40">
        <v>131538</v>
      </c>
      <c r="E50" s="34">
        <f>131538+2500-2100+700+48+1230+500+1000+879</f>
        <v>136295</v>
      </c>
      <c r="F50" s="34">
        <v>116454.19</v>
      </c>
      <c r="G50" s="26">
        <f t="shared" si="0"/>
        <v>85.44274551524268</v>
      </c>
      <c r="H50" s="61"/>
      <c r="I50" s="61"/>
      <c r="J50" s="1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9.5" customHeight="1">
      <c r="A51" s="69" t="s">
        <v>182</v>
      </c>
      <c r="B51" s="69" t="s">
        <v>183</v>
      </c>
      <c r="C51" s="39" t="s">
        <v>184</v>
      </c>
      <c r="D51" s="40">
        <v>199320</v>
      </c>
      <c r="E51" s="34">
        <f>199320-7000-700-1230-4000-2500</f>
        <v>183890</v>
      </c>
      <c r="F51" s="34">
        <v>135558.54</v>
      </c>
      <c r="G51" s="26">
        <f t="shared" si="0"/>
        <v>73.71718962423188</v>
      </c>
      <c r="H51" s="61"/>
      <c r="I51" s="61"/>
      <c r="J51" s="1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9.5" customHeight="1">
      <c r="A52" s="69" t="s">
        <v>185</v>
      </c>
      <c r="B52" s="69" t="s">
        <v>183</v>
      </c>
      <c r="C52" s="39" t="s">
        <v>186</v>
      </c>
      <c r="D52" s="40">
        <v>189140</v>
      </c>
      <c r="E52" s="34">
        <f>189140+206+3866</f>
        <v>193212</v>
      </c>
      <c r="F52" s="34">
        <v>193211.4</v>
      </c>
      <c r="G52" s="26">
        <f t="shared" si="0"/>
        <v>99.99968946028197</v>
      </c>
      <c r="H52" s="61"/>
      <c r="I52" s="61"/>
      <c r="J52" s="1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9.5" customHeight="1">
      <c r="A53" s="69" t="s">
        <v>187</v>
      </c>
      <c r="B53" s="69" t="s">
        <v>188</v>
      </c>
      <c r="C53" s="39" t="s">
        <v>189</v>
      </c>
      <c r="D53" s="40">
        <v>100460</v>
      </c>
      <c r="E53" s="34">
        <f>85163+692.86-9000-3611+22603+10000+2500+253.9</f>
        <v>108601.76</v>
      </c>
      <c r="F53" s="34">
        <v>102899.76</v>
      </c>
      <c r="G53" s="26">
        <f t="shared" si="0"/>
        <v>94.74962468379887</v>
      </c>
      <c r="H53" s="61"/>
      <c r="I53" s="61"/>
      <c r="J53" s="1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9.5" customHeight="1">
      <c r="A54" s="69" t="s">
        <v>190</v>
      </c>
      <c r="B54" s="69" t="s">
        <v>191</v>
      </c>
      <c r="C54" s="39" t="s">
        <v>192</v>
      </c>
      <c r="D54" s="40">
        <v>25</v>
      </c>
      <c r="E54" s="34">
        <v>25</v>
      </c>
      <c r="F54" s="34">
        <v>0</v>
      </c>
      <c r="G54" s="26">
        <f t="shared" si="0"/>
        <v>0</v>
      </c>
      <c r="H54" s="61"/>
      <c r="I54" s="61"/>
      <c r="J54" s="1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9.5" customHeight="1">
      <c r="A55" s="69" t="s">
        <v>193</v>
      </c>
      <c r="B55" s="69" t="s">
        <v>194</v>
      </c>
      <c r="C55" s="39" t="s">
        <v>195</v>
      </c>
      <c r="D55" s="40">
        <v>17340</v>
      </c>
      <c r="E55" s="34">
        <f>17340-4000-6000</f>
        <v>7340</v>
      </c>
      <c r="F55" s="34">
        <v>5660</v>
      </c>
      <c r="G55" s="26">
        <f t="shared" si="0"/>
        <v>77.11171662125341</v>
      </c>
      <c r="H55" s="61"/>
      <c r="I55" s="61"/>
      <c r="J55" s="15"/>
      <c r="K55" s="15"/>
      <c r="L55" s="15"/>
      <c r="M55" s="1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9.5" customHeight="1">
      <c r="A56" s="74" t="s">
        <v>84</v>
      </c>
      <c r="B56" s="75" t="s">
        <v>85</v>
      </c>
      <c r="C56" s="23" t="s">
        <v>196</v>
      </c>
      <c r="D56" s="47">
        <v>5139178</v>
      </c>
      <c r="E56" s="25">
        <f>E57+E62+E64+E68+E72+E75+E59</f>
        <v>2880453.7</v>
      </c>
      <c r="F56" s="25">
        <f>F57+F59+F64+F68+F72+F75</f>
        <v>1520408.4000000001</v>
      </c>
      <c r="G56" s="26">
        <f t="shared" si="0"/>
        <v>52.78364307678335</v>
      </c>
      <c r="H56" s="61"/>
      <c r="I56" s="61"/>
      <c r="J56" s="15"/>
      <c r="K56" s="82"/>
      <c r="L56" s="15"/>
      <c r="M56" s="1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9.5" customHeight="1">
      <c r="A57" s="76" t="s">
        <v>87</v>
      </c>
      <c r="B57" s="76" t="s">
        <v>88</v>
      </c>
      <c r="C57" s="36" t="s">
        <v>89</v>
      </c>
      <c r="D57" s="37">
        <v>85560</v>
      </c>
      <c r="E57" s="30">
        <f>E58</f>
        <v>70589.62</v>
      </c>
      <c r="F57" s="30">
        <f>F58</f>
        <v>64009.63</v>
      </c>
      <c r="G57" s="26">
        <f t="shared" si="0"/>
        <v>90.67853035616285</v>
      </c>
      <c r="H57" s="61"/>
      <c r="I57" s="61"/>
      <c r="J57" s="15"/>
      <c r="K57" s="44"/>
      <c r="L57" s="15"/>
      <c r="M57" s="1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9.5" customHeight="1">
      <c r="A58" s="77" t="s">
        <v>90</v>
      </c>
      <c r="B58" s="77" t="s">
        <v>197</v>
      </c>
      <c r="C58" s="32" t="s">
        <v>198</v>
      </c>
      <c r="D58" s="40">
        <v>85560</v>
      </c>
      <c r="E58" s="34">
        <v>70589.62</v>
      </c>
      <c r="F58" s="34">
        <v>64009.63</v>
      </c>
      <c r="G58" s="26">
        <f t="shared" si="0"/>
        <v>90.67853035616285</v>
      </c>
      <c r="H58" s="61"/>
      <c r="I58" s="61"/>
      <c r="J58" s="15"/>
      <c r="K58" s="45"/>
      <c r="L58" s="15"/>
      <c r="M58" s="1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9.5" customHeight="1">
      <c r="A59" s="76" t="s">
        <v>118</v>
      </c>
      <c r="B59" s="76" t="s">
        <v>119</v>
      </c>
      <c r="C59" s="36" t="s">
        <v>120</v>
      </c>
      <c r="D59" s="37">
        <v>2131573</v>
      </c>
      <c r="E59" s="30">
        <f>E60+E61</f>
        <v>418270</v>
      </c>
      <c r="F59" s="30">
        <f>F60+F61</f>
        <v>96457.9</v>
      </c>
      <c r="G59" s="26">
        <f t="shared" si="0"/>
        <v>23.06115666913716</v>
      </c>
      <c r="H59" s="61"/>
      <c r="I59" s="61"/>
      <c r="J59" s="15"/>
      <c r="K59" s="44"/>
      <c r="L59" s="15"/>
      <c r="M59" s="1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9.5" customHeight="1">
      <c r="A60" s="77" t="s">
        <v>121</v>
      </c>
      <c r="B60" s="77" t="s">
        <v>122</v>
      </c>
      <c r="C60" s="32" t="s">
        <v>199</v>
      </c>
      <c r="D60" s="40">
        <v>353965</v>
      </c>
      <c r="E60" s="34">
        <v>41800</v>
      </c>
      <c r="F60" s="34">
        <v>12600</v>
      </c>
      <c r="G60" s="26">
        <f t="shared" si="0"/>
        <v>30.14354066985646</v>
      </c>
      <c r="H60" s="61"/>
      <c r="I60" s="78"/>
      <c r="J60" s="15"/>
      <c r="K60" s="45"/>
      <c r="L60" s="15"/>
      <c r="M60" s="1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9.5" customHeight="1">
      <c r="A61" s="77" t="s">
        <v>122</v>
      </c>
      <c r="B61" s="77" t="s">
        <v>122</v>
      </c>
      <c r="C61" s="32" t="s">
        <v>200</v>
      </c>
      <c r="D61" s="40">
        <v>1777608</v>
      </c>
      <c r="E61" s="34">
        <v>376470</v>
      </c>
      <c r="F61" s="34">
        <v>83857.9</v>
      </c>
      <c r="G61" s="26">
        <f t="shared" si="0"/>
        <v>22.274789491858577</v>
      </c>
      <c r="H61" s="61"/>
      <c r="I61" s="78"/>
      <c r="J61" s="15"/>
      <c r="K61" s="45"/>
      <c r="L61" s="15"/>
      <c r="M61" s="1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9.5" customHeight="1">
      <c r="A62" s="76" t="s">
        <v>128</v>
      </c>
      <c r="B62" s="76" t="s">
        <v>129</v>
      </c>
      <c r="C62" s="36" t="s">
        <v>130</v>
      </c>
      <c r="D62" s="37">
        <v>145150</v>
      </c>
      <c r="E62" s="30">
        <f>E63</f>
        <v>0</v>
      </c>
      <c r="F62" s="30">
        <v>0</v>
      </c>
      <c r="G62" s="26">
        <v>0</v>
      </c>
      <c r="H62" s="61"/>
      <c r="I62" s="61"/>
      <c r="J62" s="15"/>
      <c r="K62" s="44"/>
      <c r="L62" s="15"/>
      <c r="M62" s="1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9.5" customHeight="1">
      <c r="A63" s="77" t="s">
        <v>133</v>
      </c>
      <c r="B63" s="77" t="s">
        <v>134</v>
      </c>
      <c r="C63" s="32" t="s">
        <v>201</v>
      </c>
      <c r="D63" s="40">
        <v>145150</v>
      </c>
      <c r="E63" s="34">
        <v>0</v>
      </c>
      <c r="F63" s="34">
        <v>0</v>
      </c>
      <c r="G63" s="26">
        <v>0</v>
      </c>
      <c r="H63" s="61"/>
      <c r="I63" s="61"/>
      <c r="J63" s="15"/>
      <c r="K63" s="45"/>
      <c r="L63" s="15"/>
      <c r="M63" s="1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9.5" customHeight="1">
      <c r="A64" s="76" t="s">
        <v>138</v>
      </c>
      <c r="B64" s="76" t="s">
        <v>139</v>
      </c>
      <c r="C64" s="36" t="s">
        <v>140</v>
      </c>
      <c r="D64" s="37">
        <v>237202</v>
      </c>
      <c r="E64" s="30">
        <f>E65+E66+E67</f>
        <v>642287.01</v>
      </c>
      <c r="F64" s="30">
        <f>F65+F66+F67</f>
        <v>353520.54</v>
      </c>
      <c r="G64" s="26">
        <f t="shared" si="0"/>
        <v>55.04089830494937</v>
      </c>
      <c r="H64" s="61"/>
      <c r="I64" s="79"/>
      <c r="J64" s="15"/>
      <c r="K64" s="44"/>
      <c r="L64" s="15"/>
      <c r="M64" s="1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9.5" customHeight="1">
      <c r="A65" s="77" t="s">
        <v>122</v>
      </c>
      <c r="B65" s="77" t="s">
        <v>131</v>
      </c>
      <c r="C65" s="32" t="s">
        <v>202</v>
      </c>
      <c r="D65" s="40">
        <v>30000</v>
      </c>
      <c r="E65" s="34">
        <f>48500-3150+50641</f>
        <v>95991</v>
      </c>
      <c r="F65" s="34">
        <v>720</v>
      </c>
      <c r="G65" s="26">
        <f t="shared" si="0"/>
        <v>0.750070319092415</v>
      </c>
      <c r="H65" s="61"/>
      <c r="I65" s="61"/>
      <c r="J65" s="15"/>
      <c r="K65" s="45"/>
      <c r="L65" s="15"/>
      <c r="M65" s="1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9.5" customHeight="1">
      <c r="A66" s="77" t="s">
        <v>122</v>
      </c>
      <c r="B66" s="77" t="s">
        <v>109</v>
      </c>
      <c r="C66" s="32" t="s">
        <v>203</v>
      </c>
      <c r="D66" s="40">
        <v>207202</v>
      </c>
      <c r="E66" s="34">
        <f>207203-1114-1540-112.07-16851-3058-10781-16850.92</f>
        <v>156896.01</v>
      </c>
      <c r="F66" s="34">
        <v>0</v>
      </c>
      <c r="G66" s="26">
        <f t="shared" si="0"/>
        <v>0</v>
      </c>
      <c r="H66" s="43"/>
      <c r="I66" s="61"/>
      <c r="J66" s="15"/>
      <c r="K66" s="45"/>
      <c r="L66" s="15"/>
      <c r="M66" s="1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9.5" customHeight="1">
      <c r="A67" s="77" t="s">
        <v>143</v>
      </c>
      <c r="B67" s="77" t="s">
        <v>109</v>
      </c>
      <c r="C67" s="32" t="s">
        <v>204</v>
      </c>
      <c r="D67" s="40">
        <v>0</v>
      </c>
      <c r="E67" s="34">
        <f>35400+260000+72000+22000</f>
        <v>389400</v>
      </c>
      <c r="F67" s="34">
        <v>352800.54</v>
      </c>
      <c r="G67" s="26">
        <f t="shared" si="0"/>
        <v>90.60106317411402</v>
      </c>
      <c r="H67" s="45"/>
      <c r="I67" s="45"/>
      <c r="J67" s="15"/>
      <c r="K67" s="45"/>
      <c r="L67" s="15"/>
      <c r="M67" s="4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9.5" customHeight="1">
      <c r="A68" s="68" t="s">
        <v>147</v>
      </c>
      <c r="B68" s="68" t="s">
        <v>148</v>
      </c>
      <c r="C68" s="28" t="s">
        <v>149</v>
      </c>
      <c r="D68" s="37">
        <f>D70+D71+D69</f>
        <v>0</v>
      </c>
      <c r="E68" s="30">
        <f>E70+E71+E69</f>
        <v>14000</v>
      </c>
      <c r="F68" s="30">
        <f>F70+F71+F69</f>
        <v>6972.4</v>
      </c>
      <c r="G68" s="26">
        <f t="shared" si="0"/>
        <v>49.80285714285714</v>
      </c>
      <c r="H68" s="45"/>
      <c r="I68" s="44"/>
      <c r="J68" s="15"/>
      <c r="K68" s="44"/>
      <c r="L68" s="15"/>
      <c r="M68" s="1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9.5" customHeight="1">
      <c r="A69" s="69" t="s">
        <v>152</v>
      </c>
      <c r="B69" s="69" t="s">
        <v>131</v>
      </c>
      <c r="C69" s="39" t="s">
        <v>205</v>
      </c>
      <c r="D69" s="40">
        <v>0</v>
      </c>
      <c r="E69" s="34">
        <v>7000</v>
      </c>
      <c r="F69" s="34">
        <v>0</v>
      </c>
      <c r="G69" s="26">
        <f t="shared" si="0"/>
        <v>0</v>
      </c>
      <c r="H69" s="45"/>
      <c r="I69" s="44"/>
      <c r="J69" s="15"/>
      <c r="K69" s="45"/>
      <c r="L69" s="15"/>
      <c r="M69" s="1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9.5" customHeight="1">
      <c r="A70" s="69" t="s">
        <v>153</v>
      </c>
      <c r="B70" s="69" t="s">
        <v>109</v>
      </c>
      <c r="C70" s="39" t="s">
        <v>41</v>
      </c>
      <c r="D70" s="40">
        <v>0</v>
      </c>
      <c r="E70" s="34">
        <v>2500</v>
      </c>
      <c r="F70" s="34">
        <v>2472.4</v>
      </c>
      <c r="G70" s="26">
        <f t="shared" si="0"/>
        <v>98.896</v>
      </c>
      <c r="H70" s="45"/>
      <c r="I70" s="45"/>
      <c r="J70" s="15"/>
      <c r="K70" s="45"/>
      <c r="L70" s="15"/>
      <c r="M70" s="4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9.5" customHeight="1">
      <c r="A71" s="69" t="s">
        <v>154</v>
      </c>
      <c r="B71" s="69" t="s">
        <v>155</v>
      </c>
      <c r="C71" s="39" t="s">
        <v>42</v>
      </c>
      <c r="D71" s="40">
        <v>0</v>
      </c>
      <c r="E71" s="34">
        <v>4500</v>
      </c>
      <c r="F71" s="34">
        <v>4500</v>
      </c>
      <c r="G71" s="26">
        <f t="shared" si="0"/>
        <v>100</v>
      </c>
      <c r="H71" s="45"/>
      <c r="I71" s="45"/>
      <c r="J71" s="15"/>
      <c r="K71" s="45"/>
      <c r="L71" s="15"/>
      <c r="M71" s="4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9.5" customHeight="1">
      <c r="A72" s="76" t="s">
        <v>162</v>
      </c>
      <c r="B72" s="76" t="s">
        <v>163</v>
      </c>
      <c r="C72" s="36" t="s">
        <v>164</v>
      </c>
      <c r="D72" s="37">
        <v>2415692</v>
      </c>
      <c r="E72" s="30">
        <f>E73+E74</f>
        <v>1682649.07</v>
      </c>
      <c r="F72" s="30">
        <f>F73+F74</f>
        <v>954079.38</v>
      </c>
      <c r="G72" s="26">
        <f t="shared" si="0"/>
        <v>56.70103154664329</v>
      </c>
      <c r="H72" s="61"/>
      <c r="I72" s="61"/>
      <c r="J72" s="15"/>
      <c r="K72" s="44"/>
      <c r="L72" s="15"/>
      <c r="M72" s="1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9.5" customHeight="1">
      <c r="A73" s="77" t="s">
        <v>122</v>
      </c>
      <c r="B73" s="77" t="s">
        <v>90</v>
      </c>
      <c r="C73" s="32" t="s">
        <v>166</v>
      </c>
      <c r="D73" s="40">
        <v>30000</v>
      </c>
      <c r="E73" s="34">
        <f>52000-23900</f>
        <v>28100</v>
      </c>
      <c r="F73" s="34">
        <v>23088.77</v>
      </c>
      <c r="G73" s="26">
        <f t="shared" si="0"/>
        <v>82.16644128113879</v>
      </c>
      <c r="H73" s="61"/>
      <c r="I73" s="61"/>
      <c r="J73" s="15"/>
      <c r="K73" s="45"/>
      <c r="L73" s="15"/>
      <c r="M73" s="1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9.5" customHeight="1">
      <c r="A74" s="77" t="s">
        <v>122</v>
      </c>
      <c r="B74" s="77" t="s">
        <v>92</v>
      </c>
      <c r="C74" s="32" t="s">
        <v>206</v>
      </c>
      <c r="D74" s="40">
        <v>2385692</v>
      </c>
      <c r="E74" s="34">
        <f>1654549.07-8150+8150</f>
        <v>1654549.07</v>
      </c>
      <c r="F74" s="34">
        <f>879085.32+51905.29</f>
        <v>930990.61</v>
      </c>
      <c r="G74" s="26">
        <f t="shared" si="0"/>
        <v>56.26854028572268</v>
      </c>
      <c r="H74" s="45"/>
      <c r="I74" s="61"/>
      <c r="J74" s="45"/>
      <c r="K74" s="45"/>
      <c r="L74" s="15"/>
      <c r="M74" s="4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9.5" customHeight="1">
      <c r="A75" s="76" t="s">
        <v>176</v>
      </c>
      <c r="B75" s="76" t="s">
        <v>177</v>
      </c>
      <c r="C75" s="36" t="s">
        <v>178</v>
      </c>
      <c r="D75" s="37">
        <v>124000</v>
      </c>
      <c r="E75" s="30">
        <f>E76</f>
        <v>52658</v>
      </c>
      <c r="F75" s="30">
        <f>F76</f>
        <v>45368.55</v>
      </c>
      <c r="G75" s="26">
        <f t="shared" si="0"/>
        <v>86.15699418891717</v>
      </c>
      <c r="H75" s="15"/>
      <c r="I75" s="15"/>
      <c r="J75" s="15"/>
      <c r="K75" s="44"/>
      <c r="L75" s="15"/>
      <c r="M75" s="1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9.5" customHeight="1">
      <c r="A76" s="77" t="s">
        <v>207</v>
      </c>
      <c r="B76" s="77" t="s">
        <v>180</v>
      </c>
      <c r="C76" s="32" t="s">
        <v>208</v>
      </c>
      <c r="D76" s="40">
        <v>124000</v>
      </c>
      <c r="E76" s="34">
        <f>124000+3058-75000+600</f>
        <v>52658</v>
      </c>
      <c r="F76" s="34">
        <v>45368.55</v>
      </c>
      <c r="G76" s="26">
        <f>F76*100/E76</f>
        <v>86.15699418891717</v>
      </c>
      <c r="H76" s="15"/>
      <c r="I76" s="15"/>
      <c r="J76" s="15"/>
      <c r="K76" s="45"/>
      <c r="L76" s="15"/>
      <c r="M76" s="1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9.5" customHeight="1">
      <c r="A77" s="23" t="s">
        <v>209</v>
      </c>
      <c r="B77" s="75"/>
      <c r="C77" s="80"/>
      <c r="D77" s="47">
        <v>20716229</v>
      </c>
      <c r="E77" s="25">
        <f>E56+E11</f>
        <v>17861274.51</v>
      </c>
      <c r="F77" s="25">
        <f>F56+F11</f>
        <v>15814555.660000002</v>
      </c>
      <c r="G77" s="26">
        <f>F77*100/E77</f>
        <v>88.54102573221132</v>
      </c>
      <c r="H77" s="15"/>
      <c r="I77" s="15"/>
      <c r="J77" s="15"/>
      <c r="K77" s="15"/>
      <c r="L77" s="15"/>
      <c r="M77" s="1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5:24" ht="15.75">
      <c r="E78" s="50"/>
      <c r="F78" s="5"/>
      <c r="G78" s="81"/>
      <c r="H78" s="15"/>
      <c r="I78" s="15"/>
      <c r="J78" s="1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5:24" ht="15.75">
      <c r="E79" s="50"/>
      <c r="F79" s="5"/>
      <c r="G79" s="81"/>
      <c r="H79" s="15"/>
      <c r="I79" s="15"/>
      <c r="J79" s="1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5:15" ht="15.75">
      <c r="E80" s="50"/>
      <c r="F80" s="5"/>
      <c r="G80" s="81"/>
      <c r="H80" s="15"/>
      <c r="I80" s="15"/>
      <c r="J80" s="15"/>
      <c r="K80" s="5"/>
      <c r="L80" s="5"/>
      <c r="M80" s="5"/>
      <c r="N80" s="5"/>
      <c r="O80" s="5"/>
    </row>
    <row r="81" spans="5:15" ht="15.75">
      <c r="E81" s="50"/>
      <c r="F81" s="5"/>
      <c r="G81" s="81"/>
      <c r="H81" s="15"/>
      <c r="I81" s="15"/>
      <c r="J81" s="15"/>
      <c r="K81" s="5"/>
      <c r="L81" s="5"/>
      <c r="M81" s="5"/>
      <c r="N81" s="5"/>
      <c r="O81" s="5"/>
    </row>
    <row r="82" spans="5:15" ht="15.75">
      <c r="E82" s="50"/>
      <c r="F82" s="5"/>
      <c r="G82" s="81"/>
      <c r="H82" s="15"/>
      <c r="I82" s="15"/>
      <c r="J82" s="15"/>
      <c r="K82" s="5"/>
      <c r="L82" s="5"/>
      <c r="M82" s="5"/>
      <c r="N82" s="5"/>
      <c r="O82" s="5"/>
    </row>
    <row r="83" spans="5:15" ht="12.75">
      <c r="E83" s="50"/>
      <c r="F83" s="5"/>
      <c r="G83" s="15"/>
      <c r="H83" s="15"/>
      <c r="I83" s="15"/>
      <c r="J83" s="15"/>
      <c r="K83" s="5"/>
      <c r="L83" s="5"/>
      <c r="M83" s="5"/>
      <c r="N83" s="5"/>
      <c r="O83" s="5"/>
    </row>
    <row r="84" spans="5:15" ht="12.75">
      <c r="E84" s="50"/>
      <c r="F84" s="5"/>
      <c r="G84" s="15"/>
      <c r="H84" s="15"/>
      <c r="I84" s="15"/>
      <c r="J84" s="15"/>
      <c r="K84" s="5"/>
      <c r="L84" s="5"/>
      <c r="M84" s="5"/>
      <c r="N84" s="5"/>
      <c r="O84" s="5"/>
    </row>
    <row r="85" spans="5:15" ht="12.75">
      <c r="E85" s="50"/>
      <c r="F85" s="5"/>
      <c r="G85" s="15"/>
      <c r="H85" s="15"/>
      <c r="I85" s="15"/>
      <c r="J85" s="15"/>
      <c r="K85" s="5"/>
      <c r="L85" s="5"/>
      <c r="M85" s="5"/>
      <c r="N85" s="5"/>
      <c r="O85" s="5"/>
    </row>
    <row r="86" spans="5:15" ht="12.75">
      <c r="E86" s="50"/>
      <c r="F86" s="5"/>
      <c r="G86" s="15"/>
      <c r="H86" s="15"/>
      <c r="I86" s="15"/>
      <c r="J86" s="15"/>
      <c r="K86" s="5"/>
      <c r="L86" s="5"/>
      <c r="M86" s="5"/>
      <c r="N86" s="5"/>
      <c r="O86" s="5"/>
    </row>
    <row r="87" spans="5:15" ht="12.75">
      <c r="E87" s="50"/>
      <c r="F87" s="5"/>
      <c r="G87" s="15"/>
      <c r="H87" s="15"/>
      <c r="I87" s="15"/>
      <c r="J87" s="15"/>
      <c r="K87" s="5"/>
      <c r="L87" s="5"/>
      <c r="M87" s="5"/>
      <c r="N87" s="5"/>
      <c r="O87" s="5"/>
    </row>
    <row r="88" spans="5:15" ht="12.75">
      <c r="E88" s="50"/>
      <c r="F88" s="5"/>
      <c r="G88" s="15"/>
      <c r="H88" s="15"/>
      <c r="I88" s="15"/>
      <c r="J88" s="15"/>
      <c r="K88" s="5"/>
      <c r="L88" s="5"/>
      <c r="M88" s="5"/>
      <c r="N88" s="5"/>
      <c r="O88" s="5"/>
    </row>
    <row r="89" spans="5:15" ht="12.75">
      <c r="E89" s="50"/>
      <c r="F89" s="5"/>
      <c r="G89" s="15"/>
      <c r="H89" s="15"/>
      <c r="I89" s="15"/>
      <c r="J89" s="15"/>
      <c r="K89" s="5"/>
      <c r="L89" s="5"/>
      <c r="M89" s="5"/>
      <c r="N89" s="5"/>
      <c r="O89" s="5"/>
    </row>
    <row r="90" spans="5:15" ht="12.75">
      <c r="E90" s="50"/>
      <c r="F90" s="5"/>
      <c r="G90" s="15"/>
      <c r="H90" s="15"/>
      <c r="I90" s="15"/>
      <c r="J90" s="15"/>
      <c r="K90" s="5"/>
      <c r="L90" s="5"/>
      <c r="M90" s="5"/>
      <c r="N90" s="5"/>
      <c r="O90" s="5"/>
    </row>
    <row r="91" spans="5:15" ht="12.75">
      <c r="E91" s="50"/>
      <c r="F91" s="5"/>
      <c r="G91" s="15"/>
      <c r="H91" s="15"/>
      <c r="I91" s="15"/>
      <c r="J91" s="15"/>
      <c r="K91" s="5"/>
      <c r="L91" s="5"/>
      <c r="M91" s="5"/>
      <c r="N91" s="5"/>
      <c r="O91" s="5"/>
    </row>
    <row r="92" spans="5:15" ht="12.75">
      <c r="E92" s="50"/>
      <c r="F92" s="5"/>
      <c r="G92" s="15"/>
      <c r="H92" s="15"/>
      <c r="I92" s="15"/>
      <c r="J92" s="15"/>
      <c r="K92" s="5"/>
      <c r="L92" s="5"/>
      <c r="M92" s="5"/>
      <c r="N92" s="5"/>
      <c r="O92" s="5"/>
    </row>
    <row r="93" spans="5:15" ht="12.75">
      <c r="E93" s="50"/>
      <c r="F93" s="5"/>
      <c r="G93" s="15"/>
      <c r="H93" s="15"/>
      <c r="I93" s="15"/>
      <c r="J93" s="15"/>
      <c r="K93" s="5"/>
      <c r="L93" s="5"/>
      <c r="M93" s="5"/>
      <c r="N93" s="5"/>
      <c r="O93" s="5"/>
    </row>
    <row r="94" spans="5:15" ht="12.75">
      <c r="E94" s="50"/>
      <c r="F94" s="5"/>
      <c r="G94" s="15"/>
      <c r="H94" s="15"/>
      <c r="I94" s="15"/>
      <c r="J94" s="15"/>
      <c r="K94" s="5"/>
      <c r="L94" s="5"/>
      <c r="M94" s="5"/>
      <c r="N94" s="5"/>
      <c r="O94" s="5"/>
    </row>
    <row r="95" spans="5:15" ht="12.75">
      <c r="E95" s="50"/>
      <c r="F95" s="5"/>
      <c r="G95" s="5"/>
      <c r="H95" s="15"/>
      <c r="I95" s="15"/>
      <c r="J95" s="15"/>
      <c r="K95" s="5"/>
      <c r="L95" s="5"/>
      <c r="M95" s="5"/>
      <c r="N95" s="5"/>
      <c r="O95" s="5"/>
    </row>
    <row r="96" spans="5:15" ht="12.75">
      <c r="E96" s="5"/>
      <c r="F96" s="5"/>
      <c r="G96" s="5"/>
      <c r="H96" s="15"/>
      <c r="I96" s="15"/>
      <c r="J96" s="15"/>
      <c r="K96" s="5"/>
      <c r="L96" s="5"/>
      <c r="M96" s="5"/>
      <c r="N96" s="5"/>
      <c r="O96" s="5"/>
    </row>
    <row r="97" spans="5:15" ht="12.75">
      <c r="E97" s="5"/>
      <c r="F97" s="5"/>
      <c r="G97" s="5"/>
      <c r="H97" s="15"/>
      <c r="I97" s="15"/>
      <c r="J97" s="15"/>
      <c r="K97" s="5"/>
      <c r="L97" s="5"/>
      <c r="M97" s="5"/>
      <c r="N97" s="5"/>
      <c r="O97" s="5"/>
    </row>
    <row r="98" spans="5:15" ht="12.75">
      <c r="E98" s="5"/>
      <c r="F98" s="5"/>
      <c r="G98" s="5"/>
      <c r="H98" s="15"/>
      <c r="I98" s="15"/>
      <c r="J98" s="15"/>
      <c r="K98" s="5"/>
      <c r="L98" s="5"/>
      <c r="M98" s="5"/>
      <c r="N98" s="5"/>
      <c r="O98" s="5"/>
    </row>
    <row r="99" spans="5:15" ht="12.75">
      <c r="E99" s="5"/>
      <c r="F99" s="5"/>
      <c r="G99" s="5"/>
      <c r="H99" s="15"/>
      <c r="I99" s="15"/>
      <c r="J99" s="15"/>
      <c r="K99" s="5"/>
      <c r="L99" s="5"/>
      <c r="M99" s="5"/>
      <c r="N99" s="5"/>
      <c r="O99" s="5"/>
    </row>
    <row r="100" spans="5:15" ht="12.75">
      <c r="E100" s="5"/>
      <c r="F100" s="5"/>
      <c r="G100" s="5"/>
      <c r="H100" s="15"/>
      <c r="I100" s="15"/>
      <c r="J100" s="15"/>
      <c r="K100" s="5"/>
      <c r="L100" s="5"/>
      <c r="M100" s="5"/>
      <c r="N100" s="5"/>
      <c r="O100" s="5"/>
    </row>
    <row r="101" spans="5:15" ht="12.75">
      <c r="E101" s="5"/>
      <c r="F101" s="5"/>
      <c r="G101" s="5"/>
      <c r="H101" s="15"/>
      <c r="I101" s="15"/>
      <c r="J101" s="15"/>
      <c r="K101" s="5"/>
      <c r="L101" s="5"/>
      <c r="M101" s="5"/>
      <c r="N101" s="5"/>
      <c r="O101" s="5"/>
    </row>
    <row r="102" spans="5:15" ht="12.75">
      <c r="E102" s="5"/>
      <c r="F102" s="5"/>
      <c r="G102" s="5"/>
      <c r="H102" s="15"/>
      <c r="I102" s="15"/>
      <c r="J102" s="15"/>
      <c r="K102" s="5"/>
      <c r="L102" s="5"/>
      <c r="M102" s="5"/>
      <c r="N102" s="5"/>
      <c r="O102" s="5"/>
    </row>
    <row r="103" spans="5:15" ht="12.75">
      <c r="E103" s="5"/>
      <c r="F103" s="5"/>
      <c r="G103" s="5"/>
      <c r="H103" s="15"/>
      <c r="I103" s="15"/>
      <c r="J103" s="15"/>
      <c r="K103" s="5"/>
      <c r="L103" s="5"/>
      <c r="M103" s="5"/>
      <c r="N103" s="5"/>
      <c r="O103" s="5"/>
    </row>
    <row r="104" spans="5:15" ht="12.75">
      <c r="E104" s="5"/>
      <c r="F104" s="5"/>
      <c r="G104" s="5"/>
      <c r="H104" s="15"/>
      <c r="I104" s="15"/>
      <c r="J104" s="15"/>
      <c r="K104" s="5"/>
      <c r="L104" s="5"/>
      <c r="M104" s="5"/>
      <c r="N104" s="5"/>
      <c r="O104" s="5"/>
    </row>
    <row r="105" spans="5:15" ht="12.75">
      <c r="E105" s="5"/>
      <c r="F105" s="5"/>
      <c r="G105" s="5"/>
      <c r="H105" s="15"/>
      <c r="I105" s="15"/>
      <c r="J105" s="15"/>
      <c r="K105" s="5"/>
      <c r="L105" s="5"/>
      <c r="M105" s="5"/>
      <c r="N105" s="5"/>
      <c r="O105" s="5"/>
    </row>
    <row r="106" spans="5:15" ht="12.75">
      <c r="E106" s="5"/>
      <c r="F106" s="5"/>
      <c r="G106" s="5"/>
      <c r="H106" s="15"/>
      <c r="I106" s="15"/>
      <c r="J106" s="15"/>
      <c r="K106" s="5"/>
      <c r="L106" s="5"/>
      <c r="M106" s="5"/>
      <c r="N106" s="5"/>
      <c r="O106" s="5"/>
    </row>
    <row r="107" spans="5:15" ht="12.75">
      <c r="E107" s="5"/>
      <c r="F107" s="5"/>
      <c r="G107" s="5"/>
      <c r="H107" s="15"/>
      <c r="I107" s="15"/>
      <c r="J107" s="15"/>
      <c r="K107" s="5"/>
      <c r="L107" s="5"/>
      <c r="M107" s="5"/>
      <c r="N107" s="5"/>
      <c r="O107" s="5"/>
    </row>
    <row r="108" spans="5:15" ht="12.75">
      <c r="E108" s="5"/>
      <c r="F108" s="5"/>
      <c r="G108" s="5"/>
      <c r="H108" s="15"/>
      <c r="I108" s="15"/>
      <c r="J108" s="15"/>
      <c r="K108" s="5"/>
      <c r="L108" s="5"/>
      <c r="M108" s="5"/>
      <c r="N108" s="5"/>
      <c r="O108" s="5"/>
    </row>
    <row r="109" spans="5:15" ht="12.75">
      <c r="E109" s="5"/>
      <c r="F109" s="5"/>
      <c r="G109" s="5"/>
      <c r="H109" s="15"/>
      <c r="I109" s="15"/>
      <c r="J109" s="15"/>
      <c r="K109" s="5"/>
      <c r="L109" s="5"/>
      <c r="M109" s="5"/>
      <c r="N109" s="5"/>
      <c r="O109" s="5"/>
    </row>
    <row r="110" spans="5:15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5:15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5:15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5:15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5:15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5:15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5:15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5:15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5:15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5:15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5:15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5:15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5:15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5:15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5:15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5:15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5:15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5:15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5:15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5:15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5:15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5:15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5:15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5:15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5:15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5:15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5:15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5:15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5:15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5:15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5:15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5:15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5:15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5:15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5:15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5:15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5:15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5:15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5:15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5:15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5:15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5:15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5:15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5:15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5:15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5:15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5:15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5:15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5:15" ht="12.7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5:15" ht="12.7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5:15" ht="12.7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5:15" ht="12.7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5:15" ht="12.7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5:15" ht="12.7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5:15" ht="12.7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5:15" ht="12.7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5:15" ht="12.7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5:15" ht="12.7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5:15" ht="12.7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5:15" ht="12.7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5:15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5:15" ht="12.7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5:15" ht="12.7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5:15" ht="12.7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5:15" ht="12.7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5:15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5:15" ht="12.7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5:15" ht="12.7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5:15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5:15" ht="12.7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5:15" ht="12.7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5:15" ht="12.7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5:15" ht="12.7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5:15" ht="12.7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5" ht="12.7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5:15" ht="12.7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5:15" ht="12.7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5:15" ht="12.7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5:15" ht="12.7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5:15" ht="12.7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5:15" ht="12.7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5:15" ht="12.7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5:15" ht="12.7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5:15" ht="12.7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5:15" ht="12.7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5:15" ht="12.7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5:15" ht="12.7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5:15" ht="12.7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5:15" ht="12.7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5:15" ht="12.7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5:15" ht="12.7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5:15" ht="12.7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5:15" ht="12.7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5:15" ht="12.7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5:15" ht="12.7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5:15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5:15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5:15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5:15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5:15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5:15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5:15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5:15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5:15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5:15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5:15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5:15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5:15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5:15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5:15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5:15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5:15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5:15" ht="12.7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5:15" ht="12.7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5:15" ht="12.7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5:15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5:15" ht="12.7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5:15" ht="12.7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5:15" ht="12.7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5:15" ht="12.7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5:15" ht="12.7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5:15" ht="12.7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5:15" ht="12.7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5:15" ht="12.7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5:15" ht="12.7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5:15" ht="12.7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5:15" ht="12.7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5:15" ht="12.7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5:15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5:15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5:15" ht="12.7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5:15" ht="12.7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5:15" ht="12.7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5:15" ht="12.7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5:15" ht="12.7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5:15" ht="12.7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5:15" ht="12.7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5:15" ht="12.7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5:15" ht="12.7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5:15" ht="12.7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5:15" ht="12.7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5:15" ht="12.7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5:15" ht="12.7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5:15" ht="12.7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5:15" ht="12.7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5:15" ht="12.7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5:15" ht="12.7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5:15" ht="12.7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5:15" ht="12.7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5:15" ht="12.7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5:15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5:15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5:15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5:15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5:15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5:15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5:15" ht="12.7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5:15" ht="12.7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5:15" ht="12.7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5:15" ht="12.7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5:15" ht="12.7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5:15" ht="12.7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5:15" ht="12.7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5:15" ht="12.7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5:15" ht="12.7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5:15" ht="12.7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5:15" ht="12.7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5:15" ht="12.7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5:15" ht="12.7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5:15" ht="12.7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5:15" ht="12.7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5:15" ht="12.7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5:15" ht="12.7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5:15" ht="12.7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5:15" ht="12.7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5:15" ht="12.7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</sheetData>
  <mergeCells count="1">
    <mergeCell ref="A9:C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organizacne</cp:lastModifiedBy>
  <cp:lastPrinted>2014-01-30T10:15:08Z</cp:lastPrinted>
  <dcterms:created xsi:type="dcterms:W3CDTF">2014-01-30T10:00:52Z</dcterms:created>
  <dcterms:modified xsi:type="dcterms:W3CDTF">2014-01-31T07:59:46Z</dcterms:modified>
  <cp:category/>
  <cp:version/>
  <cp:contentType/>
  <cp:contentStatus/>
</cp:coreProperties>
</file>