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400" windowHeight="12555" activeTab="1"/>
  </bookViews>
  <sheets>
    <sheet name="príjmy" sheetId="1" r:id="rId1"/>
    <sheet name="výdavk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<sst xmlns="http://schemas.openxmlformats.org/spreadsheetml/2006/main" count="303" uniqueCount="206">
  <si>
    <t>Mestská časť Bratislava-Nové Mesto</t>
  </si>
  <si>
    <t xml:space="preserve">          Miestny úrad Bratislava</t>
  </si>
  <si>
    <t xml:space="preserve">      Junácka 1, 832 91 Bratislava</t>
  </si>
  <si>
    <t xml:space="preserve">                                                                                                                                                              </t>
  </si>
  <si>
    <t>P R Í J M Y</t>
  </si>
  <si>
    <t>(v EUR)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</si>
  <si>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</si>
  <si>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</si>
  <si>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</si>
  <si>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</si>
  <si>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</si>
  <si>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</si>
  <si>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</si>
  <si>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</si>
  <si>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</si>
  <si>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</si>
  <si>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</si>
  <si>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</si>
  <si>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</si>
  <si>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 xml:space="preserve">Príjmy z vlastn.a z podnik. MÚ </t>
  </si>
  <si>
    <t>Príjmy z vlastn.a z podnik. ZŠ s MŠ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</si>
  <si>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</si>
  <si>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</si>
  <si>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</si>
  <si>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</si>
  <si>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</si>
  <si>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</t>
  </si>
  <si>
    <t xml:space="preserve">          stravné od dôchodcov</t>
  </si>
  <si>
    <t xml:space="preserve">          opatrovateľská služba</t>
  </si>
  <si>
    <t xml:space="preserve">          Školak klub</t>
  </si>
  <si>
    <t xml:space="preserve">          noviny HNM</t>
  </si>
  <si>
    <t xml:space="preserve">          Stredisko kultúry</t>
  </si>
  <si>
    <t xml:space="preserve">          Knižnica</t>
  </si>
  <si>
    <t xml:space="preserve">          správa bytov a nebyt.priestorov - služby</t>
  </si>
  <si>
    <t xml:space="preserve">          správa úradu - poplatky za služby</t>
  </si>
  <si>
    <t>Úroky - MÚ + ZŠ s MŠ</t>
  </si>
  <si>
    <t>Iné nedaň. príjmy - MÚ + ZŠ s MŠ + EKO</t>
  </si>
  <si>
    <t>Bežné a všeobecné granty a transfery</t>
  </si>
  <si>
    <t>Granty MÚ a ZŠ s MŠ</t>
  </si>
  <si>
    <t>Transfery na rôznej úrovni</t>
  </si>
  <si>
    <t>v tom: na matričnú činnosť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</si>
  <si>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</si>
  <si>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</si>
  <si>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</si>
  <si>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</si>
  <si>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</si>
  <si>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</si>
  <si>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</si>
  <si>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</si>
  <si>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voľby 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</si>
  <si>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</si>
  <si>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</si>
  <si>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</si>
  <si>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</si>
  <si>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</si>
  <si>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Finančné operácie spolu</t>
  </si>
  <si>
    <t>Zostatok prostriedkov z minulých rokov</t>
  </si>
  <si>
    <t xml:space="preserve">Prevody z rezervného fondu </t>
  </si>
  <si>
    <t>Príjmy spolu</t>
  </si>
  <si>
    <t xml:space="preserve">                                                                                                                                                     </t>
  </si>
  <si>
    <t xml:space="preserve">V Ý D A V K Y </t>
  </si>
  <si>
    <t>Program</t>
  </si>
  <si>
    <t>FK</t>
  </si>
  <si>
    <t>600 - Bežné výdavky spolu</t>
  </si>
  <si>
    <t>1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</si>
  <si>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</si>
  <si>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</si>
  <si>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</si>
  <si>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</si>
  <si>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</si>
  <si>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</si>
  <si>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1.3</t>
  </si>
  <si>
    <t>3.3</t>
  </si>
  <si>
    <t xml:space="preserve">          Matrika</t>
  </si>
  <si>
    <t>1.4</t>
  </si>
  <si>
    <t>6.0</t>
  </si>
  <si>
    <t>1.5</t>
  </si>
  <si>
    <t xml:space="preserve">          Hlásenie pobytu občanov</t>
  </si>
  <si>
    <t>1.6</t>
  </si>
  <si>
    <t>8.0</t>
  </si>
  <si>
    <t xml:space="preserve">          Transfery všeobecnej povahy VS</t>
  </si>
  <si>
    <t>2</t>
  </si>
  <si>
    <t>02</t>
  </si>
  <si>
    <t>Obrana</t>
  </si>
  <si>
    <t>2.1</t>
  </si>
  <si>
    <t>2.0</t>
  </si>
  <si>
    <t xml:space="preserve">          Civilná ochrana</t>
  </si>
  <si>
    <t>3</t>
  </si>
  <si>
    <t>03</t>
  </si>
  <si>
    <t>Verejný poriadok a bezpečnosť</t>
  </si>
  <si>
    <t>3.1</t>
  </si>
  <si>
    <t xml:space="preserve">          Požiarna ochrana</t>
  </si>
  <si>
    <t>3.2</t>
  </si>
  <si>
    <t xml:space="preserve">          Verejný poriadok a bezpečnosť inde neklasifik.</t>
  </si>
  <si>
    <t>4</t>
  </si>
  <si>
    <t>04</t>
  </si>
  <si>
    <t>Ekonomická oblasť</t>
  </si>
  <si>
    <t>4.1</t>
  </si>
  <si>
    <t>4.3</t>
  </si>
  <si>
    <t xml:space="preserve">          Výstavba - priesk. a proj. práce</t>
  </si>
  <si>
    <t>4.2</t>
  </si>
  <si>
    <t xml:space="preserve">          Výstavba - stavebný úrad</t>
  </si>
  <si>
    <t>5.1</t>
  </si>
  <si>
    <t xml:space="preserve">          Cestná doprava-výst.a opravy miest.komunik.</t>
  </si>
  <si>
    <t>5</t>
  </si>
  <si>
    <t>05</t>
  </si>
  <si>
    <t>Ochrana životného prostredia</t>
  </si>
  <si>
    <t>1.0</t>
  </si>
  <si>
    <t xml:space="preserve">          Nakladanie s odpadmi</t>
  </si>
  <si>
    <t>5.2</t>
  </si>
  <si>
    <t>4.0</t>
  </si>
  <si>
    <t xml:space="preserve">          Ochrana prírody a krajiny-ost.činn.v poľnoh.</t>
  </si>
  <si>
    <t>5.3</t>
  </si>
  <si>
    <t xml:space="preserve">          Ochrana ŽP inde neklasifikovaná</t>
  </si>
  <si>
    <t>6</t>
  </si>
  <si>
    <t>06</t>
  </si>
  <si>
    <t>Bývanie a občianska vybavenosť</t>
  </si>
  <si>
    <t>6.1</t>
  </si>
  <si>
    <t>6.2</t>
  </si>
  <si>
    <t xml:space="preserve">           EKO - podnik VPS</t>
  </si>
  <si>
    <t>6.3</t>
  </si>
  <si>
    <t xml:space="preserve">           Správa bytov a nebytových priestorov</t>
  </si>
  <si>
    <t>7</t>
  </si>
  <si>
    <t>08</t>
  </si>
  <si>
    <t>Rekreácia, kultúra a šport</t>
  </si>
  <si>
    <t>7.1</t>
  </si>
  <si>
    <t xml:space="preserve">          Telovýchova a šport</t>
  </si>
  <si>
    <t>7.2</t>
  </si>
  <si>
    <t>7.3</t>
  </si>
  <si>
    <t>7.4</t>
  </si>
  <si>
    <t>2.0.5</t>
  </si>
  <si>
    <t>7.5</t>
  </si>
  <si>
    <t>2.0.9</t>
  </si>
  <si>
    <t xml:space="preserve">          Ostatné kultúrne služby</t>
  </si>
  <si>
    <t>7.6</t>
  </si>
  <si>
    <t>3.0</t>
  </si>
  <si>
    <t xml:space="preserve">          Vysielacie a vydavateľské služby </t>
  </si>
  <si>
    <t>8</t>
  </si>
  <si>
    <t>09</t>
  </si>
  <si>
    <t>Vzdelávanie</t>
  </si>
  <si>
    <t>8.1</t>
  </si>
  <si>
    <t xml:space="preserve">          Detské jasle</t>
  </si>
  <si>
    <t>8.2</t>
  </si>
  <si>
    <t xml:space="preserve">          Základné vzdelanie</t>
  </si>
  <si>
    <t xml:space="preserve">          Základné vzdelanie - Opravy a údržby ZŠ s MŠ</t>
  </si>
  <si>
    <t>8.3</t>
  </si>
  <si>
    <t>1.2.1</t>
  </si>
  <si>
    <t xml:space="preserve">          Školský úrad</t>
  </si>
  <si>
    <t>8.4</t>
  </si>
  <si>
    <t>5.0</t>
  </si>
  <si>
    <t xml:space="preserve">          Školenia, kurzy semináre a porady</t>
  </si>
  <si>
    <t>9</t>
  </si>
  <si>
    <t>10</t>
  </si>
  <si>
    <t>Sociálne zabezpečenie</t>
  </si>
  <si>
    <t>9.1</t>
  </si>
  <si>
    <t>2.0.1</t>
  </si>
  <si>
    <t xml:space="preserve">          Zariadenia sociálnych služieb</t>
  </si>
  <si>
    <t>9.2</t>
  </si>
  <si>
    <t>2.0.2</t>
  </si>
  <si>
    <t xml:space="preserve">          Ďalšie sociálne služby - staroba</t>
  </si>
  <si>
    <t>9.3</t>
  </si>
  <si>
    <t xml:space="preserve">          Ďalšie sociálne služby - opatrovateľská služba</t>
  </si>
  <si>
    <t>9.4</t>
  </si>
  <si>
    <t>4.0.3</t>
  </si>
  <si>
    <t xml:space="preserve">          Ďalšie sociálne služby - rodina a deti</t>
  </si>
  <si>
    <t>9.5</t>
  </si>
  <si>
    <t>5.0.</t>
  </si>
  <si>
    <t xml:space="preserve">          Nezamestnaní</t>
  </si>
  <si>
    <t>9.6</t>
  </si>
  <si>
    <t>7.0.1</t>
  </si>
  <si>
    <t xml:space="preserve">          Soc.pomoc obč.v hm. a soc.núdzi</t>
  </si>
  <si>
    <t>700 - Kapitálové výdavky spolu</t>
  </si>
  <si>
    <t>1.1.6</t>
  </si>
  <si>
    <t xml:space="preserve">          Výstavba</t>
  </si>
  <si>
    <t xml:space="preserve">          Cestná doprava-výstavba miest a obcí,invest.akcie</t>
  </si>
  <si>
    <t xml:space="preserve">          Modernizácia strojového parku EKO</t>
  </si>
  <si>
    <t xml:space="preserve">          Rozvoj bývania</t>
  </si>
  <si>
    <t xml:space="preserve">          Rozvoj obcí-výstavba miest a obcí</t>
  </si>
  <si>
    <t xml:space="preserve">          EKO-podnik VPS</t>
  </si>
  <si>
    <t xml:space="preserve">          Základné školy s materskými školami</t>
  </si>
  <si>
    <t xml:space="preserve">4.3 </t>
  </si>
  <si>
    <t xml:space="preserve">          Zariadenia sociálnych služieb-staroba</t>
  </si>
  <si>
    <t>Výdavky celkom</t>
  </si>
  <si>
    <t>Návrh</t>
  </si>
  <si>
    <t>rozpočtu</t>
  </si>
  <si>
    <t xml:space="preserve">           Rozvoj bývania - ŠFRB</t>
  </si>
  <si>
    <t>Transfery pre rozpočtové organizácie</t>
  </si>
  <si>
    <t xml:space="preserve">          na BV - od BsK</t>
  </si>
  <si>
    <t xml:space="preserve">          na BV - zo ŠR </t>
  </si>
  <si>
    <t xml:space="preserve">Transfery v rámci verejnej správy </t>
  </si>
  <si>
    <t>Iné príjmové finančné operácie</t>
  </si>
  <si>
    <t xml:space="preserve">          Voľby </t>
  </si>
  <si>
    <t xml:space="preserve">         Správa informačného systému</t>
  </si>
  <si>
    <t xml:space="preserve">         ÚŠFaVO</t>
  </si>
  <si>
    <t xml:space="preserve">          reklama - Kultúra</t>
  </si>
  <si>
    <t xml:space="preserve">         Správa obecného úradu</t>
  </si>
  <si>
    <t>Schválený</t>
  </si>
  <si>
    <t>rozpočet</t>
  </si>
  <si>
    <t xml:space="preserve">                                                                                                                                      Návrh rozpočtu na rok 2014, 2015, 2016 - Príjmy</t>
  </si>
  <si>
    <t xml:space="preserve">                                                                                                                                                                              Návrh rozpočtu na rok 2014, 2015, 2016 - Výdavky</t>
  </si>
  <si>
    <t>Očakávaná</t>
  </si>
  <si>
    <t>skutočnosť</t>
  </si>
  <si>
    <t>Skutočné</t>
  </si>
  <si>
    <t>plnenie</t>
  </si>
  <si>
    <t xml:space="preserve">          Stredisko kultúry a Knižnica</t>
  </si>
  <si>
    <t xml:space="preserve">          PD- Školak klub - strecha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</si>
</sst>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5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i/>
      <sz val="20"/>
      <name val="Times New Roman"/>
      <family val="1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right"/>
    </xf>
    <xf numFmtId="49" fontId="5" fillId="0" borderId="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1" xfId="0" applyFont="1" applyBorder="1" applyAlignment="1">
      <alignment/>
    </xf>
    <xf numFmtId="49" fontId="5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49" fontId="6" fillId="0" borderId="7" xfId="0" applyNumberFormat="1" applyFont="1" applyBorder="1" applyAlignment="1">
      <alignment/>
    </xf>
    <xf numFmtId="49" fontId="5" fillId="0" borderId="7" xfId="0" applyNumberFormat="1" applyFont="1" applyBorder="1" applyAlignment="1">
      <alignment/>
    </xf>
    <xf numFmtId="49" fontId="5" fillId="0" borderId="7" xfId="0" applyNumberFormat="1" applyFont="1" applyFill="1" applyBorder="1" applyAlignment="1">
      <alignment horizontal="left"/>
    </xf>
    <xf numFmtId="49" fontId="6" fillId="0" borderId="7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3" fontId="5" fillId="0" borderId="4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/>
    </xf>
    <xf numFmtId="0" fontId="7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/>
    </xf>
    <xf numFmtId="3" fontId="8" fillId="3" borderId="7" xfId="0" applyNumberFormat="1" applyFont="1" applyFill="1" applyBorder="1" applyAlignment="1">
      <alignment/>
    </xf>
    <xf numFmtId="0" fontId="8" fillId="3" borderId="7" xfId="0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/>
    </xf>
    <xf numFmtId="0" fontId="7" fillId="3" borderId="7" xfId="0" applyFont="1" applyFill="1" applyBorder="1" applyAlignment="1">
      <alignment/>
    </xf>
    <xf numFmtId="49" fontId="8" fillId="3" borderId="7" xfId="0" applyNumberFormat="1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49" fontId="8" fillId="3" borderId="7" xfId="0" applyNumberFormat="1" applyFont="1" applyFill="1" applyBorder="1" applyAlignment="1">
      <alignment horizontal="left"/>
    </xf>
    <xf numFmtId="4" fontId="8" fillId="3" borderId="7" xfId="0" applyNumberFormat="1" applyFont="1" applyFill="1" applyBorder="1" applyAlignment="1">
      <alignment/>
    </xf>
    <xf numFmtId="4" fontId="5" fillId="0" borderId="7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6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4" fontId="5" fillId="2" borderId="7" xfId="0" applyNumberFormat="1" applyFont="1" applyFill="1" applyBorder="1" applyAlignment="1">
      <alignment/>
    </xf>
    <xf numFmtId="4" fontId="5" fillId="0" borderId="7" xfId="0" applyNumberFormat="1" applyFont="1" applyFill="1" applyBorder="1" applyAlignment="1">
      <alignment horizontal="right"/>
    </xf>
    <xf numFmtId="4" fontId="6" fillId="0" borderId="7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3" fontId="8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8"/>
  <sheetViews>
    <sheetView workbookViewId="0" topLeftCell="A48">
      <selection activeCell="D73" sqref="D73"/>
    </sheetView>
  </sheetViews>
  <sheetFormatPr defaultColWidth="9.140625" defaultRowHeight="12.75"/>
  <cols>
    <col min="1" max="1" width="9.421875" style="0" bestFit="1" customWidth="1"/>
    <col min="2" max="2" width="46.140625" style="0" customWidth="1"/>
    <col min="3" max="6" width="16.140625" style="0" bestFit="1" customWidth="1"/>
    <col min="7" max="7" width="15.28125" style="0" bestFit="1" customWidth="1"/>
    <col min="8" max="9" width="13.00390625" style="0" bestFit="1" customWidth="1"/>
    <col min="10" max="10" width="39.14062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1" t="s">
        <v>1</v>
      </c>
      <c r="B2" s="2"/>
      <c r="C2" s="2"/>
      <c r="D2" s="2"/>
      <c r="E2" s="2"/>
      <c r="F2" s="2"/>
    </row>
    <row r="3" spans="1:6" ht="18.75">
      <c r="A3" s="1" t="s">
        <v>2</v>
      </c>
      <c r="B3" s="2"/>
      <c r="C3" s="2"/>
      <c r="D3" s="2"/>
      <c r="E3" s="2"/>
      <c r="F3" s="2"/>
    </row>
    <row r="4" spans="1:6" ht="18.75">
      <c r="A4" s="1"/>
      <c r="B4" s="2"/>
      <c r="C4" s="2"/>
      <c r="D4" s="2"/>
      <c r="E4" s="2"/>
      <c r="F4" s="2"/>
    </row>
    <row r="5" spans="1:8" ht="25.5">
      <c r="A5" s="4" t="s">
        <v>198</v>
      </c>
      <c r="B5" s="5"/>
      <c r="C5" s="5"/>
      <c r="D5" s="5"/>
      <c r="E5" s="5"/>
      <c r="F5" s="5"/>
      <c r="G5" s="5"/>
      <c r="H5" s="33"/>
    </row>
    <row r="6" spans="1:8" ht="25.5">
      <c r="A6" s="4" t="s">
        <v>3</v>
      </c>
      <c r="B6" s="5"/>
      <c r="C6" s="5"/>
      <c r="D6" s="5"/>
      <c r="E6" s="5"/>
      <c r="F6" s="5"/>
      <c r="G6" s="6"/>
      <c r="H6" s="6"/>
    </row>
    <row r="7" spans="7:8" ht="12.75">
      <c r="G7" s="7"/>
      <c r="H7" s="7"/>
    </row>
    <row r="8" spans="1:9" ht="15.75">
      <c r="A8" s="8"/>
      <c r="B8" s="9"/>
      <c r="C8" s="9" t="s">
        <v>202</v>
      </c>
      <c r="D8" s="9" t="s">
        <v>202</v>
      </c>
      <c r="E8" s="9" t="s">
        <v>196</v>
      </c>
      <c r="F8" s="10" t="s">
        <v>200</v>
      </c>
      <c r="G8" s="55" t="s">
        <v>183</v>
      </c>
      <c r="H8" s="55" t="s">
        <v>183</v>
      </c>
      <c r="I8" s="55" t="s">
        <v>183</v>
      </c>
    </row>
    <row r="9" spans="1:9" ht="15.75">
      <c r="A9" s="83" t="s">
        <v>4</v>
      </c>
      <c r="B9" s="84"/>
      <c r="C9" s="71" t="s">
        <v>203</v>
      </c>
      <c r="D9" s="71" t="s">
        <v>203</v>
      </c>
      <c r="E9" s="71" t="s">
        <v>197</v>
      </c>
      <c r="F9" s="11" t="s">
        <v>201</v>
      </c>
      <c r="G9" s="56" t="s">
        <v>184</v>
      </c>
      <c r="H9" s="56" t="s">
        <v>184</v>
      </c>
      <c r="I9" s="56" t="s">
        <v>184</v>
      </c>
    </row>
    <row r="10" spans="1:9" ht="15.75">
      <c r="A10" s="12"/>
      <c r="B10" s="13" t="s">
        <v>5</v>
      </c>
      <c r="C10" s="71">
        <v>2011</v>
      </c>
      <c r="D10" s="71">
        <v>2012</v>
      </c>
      <c r="E10" s="71">
        <v>2013</v>
      </c>
      <c r="F10" s="11">
        <v>2013</v>
      </c>
      <c r="G10" s="56">
        <v>2014</v>
      </c>
      <c r="H10" s="56">
        <v>2015</v>
      </c>
      <c r="I10" s="56">
        <v>2016</v>
      </c>
    </row>
    <row r="11" spans="1:17" ht="19.5" customHeight="1">
      <c r="A11" s="58"/>
      <c r="B11" s="59" t="s">
        <v>6</v>
      </c>
      <c r="C11" s="67">
        <f>C12+C14+C16+C24+C25+C26+C41+C42+C43</f>
        <v>14308661.7</v>
      </c>
      <c r="D11" s="67">
        <f>D12+D14+D16+D24+D25+D26+D41+D42+D43</f>
        <v>15727428.93</v>
      </c>
      <c r="E11" s="67">
        <f>E12+E14+E16+E24+E25+E26+E41+E42+E43</f>
        <v>15577052</v>
      </c>
      <c r="F11" s="67">
        <f>F12+F14+F16+F24+F25+F26+F41+F42+F43</f>
        <v>14783568.19</v>
      </c>
      <c r="G11" s="60">
        <f>G12+G14+G16+G24+G26+G41+G42+G43+G25</f>
        <v>14611561</v>
      </c>
      <c r="H11" s="60">
        <f>H12+H14+H16+H24+H25+H26+H41+H42+H43</f>
        <v>14391452</v>
      </c>
      <c r="I11" s="60">
        <f>I12+I14+I16+I24+I25+I26+I41+I42+I43</f>
        <v>14650475</v>
      </c>
      <c r="J11" s="15"/>
      <c r="K11" s="3"/>
      <c r="L11" s="3"/>
      <c r="M11" s="3"/>
      <c r="N11" s="3"/>
      <c r="O11" s="3"/>
      <c r="P11" s="3"/>
      <c r="Q11" s="3"/>
    </row>
    <row r="12" spans="1:17" ht="19.5" customHeight="1">
      <c r="A12" s="16">
        <v>110</v>
      </c>
      <c r="B12" s="17" t="s">
        <v>7</v>
      </c>
      <c r="C12" s="75">
        <f>C13</f>
        <v>4369837</v>
      </c>
      <c r="D12" s="75">
        <f>D13</f>
        <v>4576740</v>
      </c>
      <c r="E12" s="75">
        <f>E13</f>
        <v>5308958</v>
      </c>
      <c r="F12" s="54">
        <f>SUM(F13:F13)</f>
        <v>5159516</v>
      </c>
      <c r="G12" s="22">
        <f>SUM(G13:G13)</f>
        <v>5508491</v>
      </c>
      <c r="H12" s="22">
        <f>SUM(H13:H13)</f>
        <v>5463142</v>
      </c>
      <c r="I12" s="22">
        <f>SUM(I13:I13)</f>
        <v>5707045</v>
      </c>
      <c r="J12" s="15"/>
      <c r="K12" s="3"/>
      <c r="L12" s="3"/>
      <c r="M12" s="3"/>
      <c r="N12" s="3"/>
      <c r="O12" s="3"/>
      <c r="P12" s="3"/>
      <c r="Q12" s="3"/>
    </row>
    <row r="13" spans="1:17" ht="19.5" customHeight="1">
      <c r="A13" s="18">
        <v>111</v>
      </c>
      <c r="B13" s="19" t="s">
        <v>8</v>
      </c>
      <c r="C13" s="68">
        <v>4369837</v>
      </c>
      <c r="D13" s="68">
        <v>4576740</v>
      </c>
      <c r="E13" s="68">
        <v>5308958</v>
      </c>
      <c r="F13" s="68">
        <f>5508152-348940+304</f>
        <v>5159516</v>
      </c>
      <c r="G13" s="52">
        <v>5508491</v>
      </c>
      <c r="H13" s="53">
        <v>5463142</v>
      </c>
      <c r="I13" s="53">
        <v>5707045</v>
      </c>
      <c r="J13" s="15"/>
      <c r="K13" s="3"/>
      <c r="L13" s="3"/>
      <c r="M13" s="3"/>
      <c r="N13" s="3"/>
      <c r="O13" s="3"/>
      <c r="P13" s="3"/>
      <c r="Q13" s="3"/>
    </row>
    <row r="14" spans="1:17" ht="19.5" customHeight="1">
      <c r="A14" s="20">
        <v>120</v>
      </c>
      <c r="B14" s="21" t="s">
        <v>9</v>
      </c>
      <c r="C14" s="54">
        <f>C15</f>
        <v>2414351</v>
      </c>
      <c r="D14" s="54">
        <f>D15</f>
        <v>2944271</v>
      </c>
      <c r="E14" s="54">
        <f>E15</f>
        <v>2820000</v>
      </c>
      <c r="F14" s="54">
        <f>SUM(F15)</f>
        <v>2844000</v>
      </c>
      <c r="G14" s="22">
        <f>SUM(G15)</f>
        <v>2920270</v>
      </c>
      <c r="H14" s="22">
        <f>SUM(H15)</f>
        <v>2940510</v>
      </c>
      <c r="I14" s="22">
        <f>SUM(I15)</f>
        <v>2955630</v>
      </c>
      <c r="J14" s="15"/>
      <c r="K14" s="3"/>
      <c r="L14" s="3"/>
      <c r="M14" s="3"/>
      <c r="N14" s="3"/>
      <c r="O14" s="3"/>
      <c r="P14" s="3"/>
      <c r="Q14" s="3"/>
    </row>
    <row r="15" spans="1:17" ht="19.5" customHeight="1">
      <c r="A15" s="18">
        <v>121</v>
      </c>
      <c r="B15" s="19" t="s">
        <v>10</v>
      </c>
      <c r="C15" s="68">
        <v>2414351</v>
      </c>
      <c r="D15" s="68">
        <v>2944271</v>
      </c>
      <c r="E15" s="68">
        <v>2820000</v>
      </c>
      <c r="F15" s="68">
        <f>2820000+24000</f>
        <v>2844000</v>
      </c>
      <c r="G15" s="52">
        <v>2920270</v>
      </c>
      <c r="H15" s="53">
        <v>2940510</v>
      </c>
      <c r="I15" s="53">
        <v>2955630</v>
      </c>
      <c r="J15" s="15"/>
      <c r="K15" s="3"/>
      <c r="L15" s="3"/>
      <c r="M15" s="3"/>
      <c r="N15" s="3"/>
      <c r="O15" s="3"/>
      <c r="P15" s="3"/>
      <c r="Q15" s="3"/>
    </row>
    <row r="16" spans="1:17" ht="19.5" customHeight="1">
      <c r="A16" s="16">
        <v>130</v>
      </c>
      <c r="B16" s="17" t="s">
        <v>11</v>
      </c>
      <c r="C16" s="75">
        <f aca="true" t="shared" si="0" ref="C16:I16">C17</f>
        <v>526078.84</v>
      </c>
      <c r="D16" s="75">
        <f t="shared" si="0"/>
        <v>511155.23</v>
      </c>
      <c r="E16" s="75">
        <f t="shared" si="0"/>
        <v>508110</v>
      </c>
      <c r="F16" s="54">
        <f t="shared" si="0"/>
        <v>508793</v>
      </c>
      <c r="G16" s="22">
        <f t="shared" si="0"/>
        <v>439460</v>
      </c>
      <c r="H16" s="22">
        <f t="shared" si="0"/>
        <v>439460</v>
      </c>
      <c r="I16" s="22">
        <f t="shared" si="0"/>
        <v>439460</v>
      </c>
      <c r="J16" s="15"/>
      <c r="K16" s="3"/>
      <c r="L16" s="3"/>
      <c r="M16" s="3"/>
      <c r="N16" s="3"/>
      <c r="O16" s="3"/>
      <c r="P16" s="3"/>
      <c r="Q16" s="3"/>
    </row>
    <row r="17" spans="1:17" ht="19.5" customHeight="1">
      <c r="A17" s="23">
        <v>133</v>
      </c>
      <c r="B17" s="24" t="s">
        <v>12</v>
      </c>
      <c r="C17" s="76">
        <f>C18+C19+C20+C21+C22+C23</f>
        <v>526078.84</v>
      </c>
      <c r="D17" s="76">
        <f>D18+D19+D20+D21+D22+D23</f>
        <v>511155.23</v>
      </c>
      <c r="E17" s="76">
        <f>E18+E19+E20+E21+E22+E23</f>
        <v>508110</v>
      </c>
      <c r="F17" s="68">
        <f>SUM(F18:F23)</f>
        <v>508793</v>
      </c>
      <c r="G17" s="53">
        <f>SUM(G18:G23)</f>
        <v>439460</v>
      </c>
      <c r="H17" s="53">
        <f>SUM(H18:H23)</f>
        <v>439460</v>
      </c>
      <c r="I17" s="53">
        <f>SUM(I18:I23)</f>
        <v>439460</v>
      </c>
      <c r="J17" s="15"/>
      <c r="K17" s="3"/>
      <c r="L17" s="3"/>
      <c r="M17" s="3"/>
      <c r="N17" s="3"/>
      <c r="O17" s="3"/>
      <c r="P17" s="3"/>
      <c r="Q17" s="3"/>
    </row>
    <row r="18" spans="1:17" ht="19.5" customHeight="1">
      <c r="A18" s="24"/>
      <c r="B18" s="24" t="s">
        <v>13</v>
      </c>
      <c r="C18" s="76">
        <v>45020.48</v>
      </c>
      <c r="D18" s="76">
        <v>44020.33</v>
      </c>
      <c r="E18" s="76">
        <v>47000</v>
      </c>
      <c r="F18" s="68">
        <v>47000</v>
      </c>
      <c r="G18" s="52">
        <v>44020</v>
      </c>
      <c r="H18" s="53">
        <v>44020</v>
      </c>
      <c r="I18" s="53">
        <v>44020</v>
      </c>
      <c r="J18" s="15"/>
      <c r="K18" s="3"/>
      <c r="L18" s="3"/>
      <c r="M18" s="3"/>
      <c r="N18" s="3"/>
      <c r="O18" s="3"/>
      <c r="P18" s="3"/>
      <c r="Q18" s="3"/>
    </row>
    <row r="19" spans="1:17" ht="19.5" customHeight="1">
      <c r="A19" s="24"/>
      <c r="B19" s="19" t="s">
        <v>14</v>
      </c>
      <c r="C19" s="68">
        <v>1806.09</v>
      </c>
      <c r="D19" s="68">
        <v>670</v>
      </c>
      <c r="E19" s="68">
        <v>670</v>
      </c>
      <c r="F19" s="68">
        <f>670+683</f>
        <v>1353</v>
      </c>
      <c r="G19" s="52">
        <v>1340</v>
      </c>
      <c r="H19" s="53">
        <v>1340</v>
      </c>
      <c r="I19" s="53">
        <v>1340</v>
      </c>
      <c r="J19" s="15"/>
      <c r="K19" s="3"/>
      <c r="L19" s="3"/>
      <c r="M19" s="3"/>
      <c r="N19" s="3"/>
      <c r="O19" s="3"/>
      <c r="P19" s="3"/>
      <c r="Q19" s="3"/>
    </row>
    <row r="20" spans="1:17" ht="19.5" customHeight="1">
      <c r="A20" s="25"/>
      <c r="B20" s="19" t="s">
        <v>15</v>
      </c>
      <c r="C20" s="68">
        <v>8345.58</v>
      </c>
      <c r="D20" s="68">
        <v>9450.68</v>
      </c>
      <c r="E20" s="68">
        <v>8440</v>
      </c>
      <c r="F20" s="68">
        <v>8440</v>
      </c>
      <c r="G20" s="52">
        <v>8100</v>
      </c>
      <c r="H20" s="53">
        <v>8100</v>
      </c>
      <c r="I20" s="53">
        <v>8100</v>
      </c>
      <c r="J20" s="15"/>
      <c r="K20" s="3"/>
      <c r="L20" s="3"/>
      <c r="M20" s="3"/>
      <c r="N20" s="3"/>
      <c r="O20" s="3"/>
      <c r="P20" s="3"/>
      <c r="Q20" s="3"/>
    </row>
    <row r="21" spans="1:17" ht="19.5" customHeight="1">
      <c r="A21" s="25"/>
      <c r="B21" s="19" t="s">
        <v>16</v>
      </c>
      <c r="C21" s="68">
        <v>253640</v>
      </c>
      <c r="D21" s="68">
        <v>251597</v>
      </c>
      <c r="E21" s="68">
        <v>250000</v>
      </c>
      <c r="F21" s="68">
        <v>250000</v>
      </c>
      <c r="G21" s="52">
        <v>250000</v>
      </c>
      <c r="H21" s="53">
        <v>250000</v>
      </c>
      <c r="I21" s="53">
        <v>250000</v>
      </c>
      <c r="J21" s="15"/>
      <c r="K21" s="3"/>
      <c r="L21" s="3"/>
      <c r="M21" s="3"/>
      <c r="N21" s="3"/>
      <c r="O21" s="3"/>
      <c r="P21" s="3"/>
      <c r="Q21" s="3"/>
    </row>
    <row r="22" spans="1:17" ht="19.5" customHeight="1">
      <c r="A22" s="24"/>
      <c r="B22" s="19" t="s">
        <v>17</v>
      </c>
      <c r="C22" s="68">
        <v>160257.24</v>
      </c>
      <c r="D22" s="68">
        <v>205417.22</v>
      </c>
      <c r="E22" s="68">
        <v>200000</v>
      </c>
      <c r="F22" s="68">
        <v>200000</v>
      </c>
      <c r="G22" s="52">
        <v>135000</v>
      </c>
      <c r="H22" s="53">
        <v>135000</v>
      </c>
      <c r="I22" s="53">
        <v>135000</v>
      </c>
      <c r="J22" s="15"/>
      <c r="K22" s="3"/>
      <c r="L22" s="3"/>
      <c r="M22" s="3"/>
      <c r="N22" s="3"/>
      <c r="O22" s="3"/>
      <c r="P22" s="3"/>
      <c r="Q22" s="3"/>
    </row>
    <row r="23" spans="1:17" ht="19.5" customHeight="1">
      <c r="A23" s="26">
        <v>139002</v>
      </c>
      <c r="B23" s="19" t="s">
        <v>18</v>
      </c>
      <c r="C23" s="68">
        <v>57009.45</v>
      </c>
      <c r="D23" s="68">
        <v>0</v>
      </c>
      <c r="E23" s="68">
        <v>2000</v>
      </c>
      <c r="F23" s="68">
        <v>2000</v>
      </c>
      <c r="G23" s="52">
        <v>1000</v>
      </c>
      <c r="H23" s="53">
        <v>1000</v>
      </c>
      <c r="I23" s="53">
        <v>1000</v>
      </c>
      <c r="J23" s="15"/>
      <c r="K23" s="3"/>
      <c r="L23" s="3"/>
      <c r="M23" s="3"/>
      <c r="N23" s="3"/>
      <c r="O23" s="3"/>
      <c r="P23" s="3"/>
      <c r="Q23" s="3"/>
    </row>
    <row r="24" spans="1:17" ht="19.5" customHeight="1">
      <c r="A24" s="20">
        <v>212</v>
      </c>
      <c r="B24" s="21" t="s">
        <v>19</v>
      </c>
      <c r="C24" s="54">
        <v>732177.59</v>
      </c>
      <c r="D24" s="54">
        <v>680114.47</v>
      </c>
      <c r="E24" s="54">
        <v>798338</v>
      </c>
      <c r="F24" s="54">
        <f>798338-120158+36800</f>
        <v>714980</v>
      </c>
      <c r="G24" s="22">
        <v>692685</v>
      </c>
      <c r="H24" s="22">
        <v>692685</v>
      </c>
      <c r="I24" s="22">
        <v>692685</v>
      </c>
      <c r="J24" s="15"/>
      <c r="K24" s="3"/>
      <c r="L24" s="3"/>
      <c r="M24" s="3"/>
      <c r="N24" s="3"/>
      <c r="O24" s="3"/>
      <c r="P24" s="3"/>
      <c r="Q24" s="3"/>
    </row>
    <row r="25" spans="1:17" ht="19.5" customHeight="1">
      <c r="A25" s="20">
        <v>212</v>
      </c>
      <c r="B25" s="21" t="s">
        <v>20</v>
      </c>
      <c r="C25" s="54">
        <v>282402.38</v>
      </c>
      <c r="D25" s="54">
        <v>296386.84</v>
      </c>
      <c r="E25" s="54">
        <v>321820</v>
      </c>
      <c r="F25" s="54">
        <f>285020-49790</f>
        <v>235230</v>
      </c>
      <c r="G25" s="22">
        <v>192210</v>
      </c>
      <c r="H25" s="22">
        <v>192210</v>
      </c>
      <c r="I25" s="22">
        <v>192210</v>
      </c>
      <c r="J25" s="15"/>
      <c r="K25" s="3"/>
      <c r="L25" s="3"/>
      <c r="M25" s="3"/>
      <c r="N25" s="3"/>
      <c r="O25" s="3"/>
      <c r="P25" s="3"/>
      <c r="Q25" s="3"/>
    </row>
    <row r="26" spans="1:17" ht="19.5" customHeight="1">
      <c r="A26" s="16">
        <v>220</v>
      </c>
      <c r="B26" s="21" t="s">
        <v>21</v>
      </c>
      <c r="C26" s="54">
        <f>C27+C28+C29</f>
        <v>986371.6299999999</v>
      </c>
      <c r="D26" s="54">
        <f>D27+D28+D29</f>
        <v>1786924.35</v>
      </c>
      <c r="E26" s="54">
        <f>E27+E28+E29</f>
        <v>1189170</v>
      </c>
      <c r="F26" s="54">
        <f>SUM(F27+F28+F29)</f>
        <v>1249090</v>
      </c>
      <c r="G26" s="22">
        <f>SUM(G27+G28+G29)</f>
        <v>1205664</v>
      </c>
      <c r="H26" s="22">
        <f>SUM(H27+H28+H29)</f>
        <v>1205664</v>
      </c>
      <c r="I26" s="22">
        <f>SUM(I27+I28+I29)</f>
        <v>1205664</v>
      </c>
      <c r="J26" s="15"/>
      <c r="K26" s="3"/>
      <c r="L26" s="3"/>
      <c r="M26" s="3"/>
      <c r="N26" s="3"/>
      <c r="O26" s="3"/>
      <c r="P26" s="3"/>
      <c r="Q26" s="3"/>
    </row>
    <row r="27" spans="1:17" ht="19.5" customHeight="1">
      <c r="A27" s="23">
        <v>221</v>
      </c>
      <c r="B27" s="19" t="s">
        <v>22</v>
      </c>
      <c r="C27" s="68">
        <v>68630</v>
      </c>
      <c r="D27" s="68">
        <v>90511.83</v>
      </c>
      <c r="E27" s="68">
        <v>91600</v>
      </c>
      <c r="F27" s="68">
        <f>91600+22000</f>
        <v>113600</v>
      </c>
      <c r="G27" s="52">
        <v>125000</v>
      </c>
      <c r="H27" s="53">
        <v>125000</v>
      </c>
      <c r="I27" s="53">
        <v>125000</v>
      </c>
      <c r="J27" s="50"/>
      <c r="K27" s="3"/>
      <c r="L27" s="3"/>
      <c r="M27" s="3"/>
      <c r="N27" s="3"/>
      <c r="O27" s="3"/>
      <c r="P27" s="3"/>
      <c r="Q27" s="3"/>
    </row>
    <row r="28" spans="1:17" ht="19.5" customHeight="1">
      <c r="A28" s="23">
        <v>222</v>
      </c>
      <c r="B28" s="19" t="s">
        <v>23</v>
      </c>
      <c r="C28" s="68">
        <v>140685.08</v>
      </c>
      <c r="D28" s="68">
        <v>138318.9</v>
      </c>
      <c r="E28" s="68">
        <v>0</v>
      </c>
      <c r="F28" s="68">
        <v>0</v>
      </c>
      <c r="G28" s="52">
        <v>0</v>
      </c>
      <c r="H28" s="53">
        <v>0</v>
      </c>
      <c r="I28" s="53">
        <v>0</v>
      </c>
      <c r="J28" s="50"/>
      <c r="K28" s="3"/>
      <c r="L28" s="3"/>
      <c r="M28" s="3"/>
      <c r="N28" s="3"/>
      <c r="O28" s="3"/>
      <c r="P28" s="3"/>
      <c r="Q28" s="3"/>
    </row>
    <row r="29" spans="1:17" ht="19.5" customHeight="1">
      <c r="A29" s="23">
        <v>223</v>
      </c>
      <c r="B29" s="19" t="s">
        <v>24</v>
      </c>
      <c r="C29" s="68">
        <f>C30+C31+C32+C33+C34+C35+C36+C37+C38+C39+C40</f>
        <v>777056.5499999999</v>
      </c>
      <c r="D29" s="68">
        <f>D30+D31+D32+D33+D34+D35+D36+D37+D38+D39+D40</f>
        <v>1558093.62</v>
      </c>
      <c r="E29" s="68">
        <f>E30+E31+E32+E33+E34+E35+E36+E37+E38+E39+E40</f>
        <v>1097570</v>
      </c>
      <c r="F29" s="68">
        <f>F30+F31+F32+F33+F34+F35+F36+F37+F38+F39+F40</f>
        <v>1135490</v>
      </c>
      <c r="G29" s="53">
        <f>SUM(G30:G40)</f>
        <v>1080664</v>
      </c>
      <c r="H29" s="53">
        <f>SUM(H30:H40)</f>
        <v>1080664</v>
      </c>
      <c r="I29" s="53">
        <f>SUM(I30:I40)</f>
        <v>1080664</v>
      </c>
      <c r="J29" s="15"/>
      <c r="K29" s="3"/>
      <c r="L29" s="3"/>
      <c r="M29" s="3"/>
      <c r="N29" s="3"/>
      <c r="O29" s="3"/>
      <c r="P29" s="3"/>
      <c r="Q29" s="3"/>
    </row>
    <row r="30" spans="1:17" ht="19.5" customHeight="1">
      <c r="A30" s="23"/>
      <c r="B30" s="19" t="s">
        <v>25</v>
      </c>
      <c r="C30" s="68">
        <v>95983.94</v>
      </c>
      <c r="D30" s="68">
        <v>102168.42</v>
      </c>
      <c r="E30" s="68">
        <v>89000</v>
      </c>
      <c r="F30" s="68">
        <f>89000+11000</f>
        <v>100000</v>
      </c>
      <c r="G30" s="52">
        <v>84500</v>
      </c>
      <c r="H30" s="53">
        <v>84500</v>
      </c>
      <c r="I30" s="53">
        <v>84500</v>
      </c>
      <c r="J30" s="15"/>
      <c r="K30" s="3"/>
      <c r="L30" s="3"/>
      <c r="M30" s="3"/>
      <c r="N30" s="3"/>
      <c r="O30" s="3"/>
      <c r="P30" s="3"/>
      <c r="Q30" s="3"/>
    </row>
    <row r="31" spans="1:17" ht="19.5" customHeight="1">
      <c r="A31" s="23"/>
      <c r="B31" s="19" t="s">
        <v>26</v>
      </c>
      <c r="C31" s="68">
        <v>291368.66</v>
      </c>
      <c r="D31" s="68">
        <v>875134.35</v>
      </c>
      <c r="E31" s="68">
        <v>454400</v>
      </c>
      <c r="F31" s="68">
        <v>454400</v>
      </c>
      <c r="G31" s="53">
        <v>410394</v>
      </c>
      <c r="H31" s="53">
        <v>410394</v>
      </c>
      <c r="I31" s="53">
        <v>410394</v>
      </c>
      <c r="J31" s="15"/>
      <c r="K31" s="3"/>
      <c r="L31" s="3"/>
      <c r="M31" s="3"/>
      <c r="N31" s="3"/>
      <c r="O31" s="3"/>
      <c r="P31" s="3"/>
      <c r="Q31" s="3"/>
    </row>
    <row r="32" spans="1:17" ht="19.5" customHeight="1">
      <c r="A32" s="23"/>
      <c r="B32" s="19" t="s">
        <v>27</v>
      </c>
      <c r="C32" s="68">
        <v>117270.07</v>
      </c>
      <c r="D32" s="68">
        <v>133001.05</v>
      </c>
      <c r="E32" s="68">
        <v>120000</v>
      </c>
      <c r="F32" s="68">
        <f>120000+13000</f>
        <v>133000</v>
      </c>
      <c r="G32" s="52">
        <v>120000</v>
      </c>
      <c r="H32" s="53">
        <v>120000</v>
      </c>
      <c r="I32" s="53">
        <v>120000</v>
      </c>
      <c r="J32" s="15"/>
      <c r="K32" s="3"/>
      <c r="L32" s="3"/>
      <c r="M32" s="3"/>
      <c r="N32" s="3"/>
      <c r="O32" s="3"/>
      <c r="P32" s="3"/>
      <c r="Q32" s="3"/>
    </row>
    <row r="33" spans="1:17" ht="19.5" customHeight="1">
      <c r="A33" s="23"/>
      <c r="B33" s="19" t="s">
        <v>28</v>
      </c>
      <c r="C33" s="68">
        <v>27563.54</v>
      </c>
      <c r="D33" s="68">
        <v>27105.99</v>
      </c>
      <c r="E33" s="68">
        <v>28000</v>
      </c>
      <c r="F33" s="68">
        <v>28000</v>
      </c>
      <c r="G33" s="52">
        <v>29000</v>
      </c>
      <c r="H33" s="53">
        <v>29000</v>
      </c>
      <c r="I33" s="53">
        <v>29000</v>
      </c>
      <c r="J33" s="15"/>
      <c r="K33" s="3"/>
      <c r="L33" s="3"/>
      <c r="M33" s="3"/>
      <c r="N33" s="3"/>
      <c r="O33" s="3"/>
      <c r="P33" s="3"/>
      <c r="Q33" s="3"/>
    </row>
    <row r="34" spans="1:17" ht="19.5" customHeight="1">
      <c r="A34" s="23"/>
      <c r="B34" s="19" t="s">
        <v>29</v>
      </c>
      <c r="C34" s="68">
        <v>3541.96</v>
      </c>
      <c r="D34" s="68">
        <v>3699</v>
      </c>
      <c r="E34" s="68">
        <v>4000</v>
      </c>
      <c r="F34" s="68">
        <v>4000</v>
      </c>
      <c r="G34" s="52">
        <v>3700</v>
      </c>
      <c r="H34" s="53">
        <v>3700</v>
      </c>
      <c r="I34" s="53">
        <v>3700</v>
      </c>
      <c r="J34" s="15"/>
      <c r="K34" s="3"/>
      <c r="L34" s="3"/>
      <c r="M34" s="3"/>
      <c r="N34" s="3"/>
      <c r="O34" s="3"/>
      <c r="P34" s="3"/>
      <c r="Q34" s="3"/>
    </row>
    <row r="35" spans="1:17" ht="19.5" customHeight="1">
      <c r="A35" s="23"/>
      <c r="B35" s="19" t="s">
        <v>194</v>
      </c>
      <c r="C35" s="68">
        <v>0</v>
      </c>
      <c r="D35" s="68">
        <v>0</v>
      </c>
      <c r="E35" s="68">
        <v>0</v>
      </c>
      <c r="F35" s="68">
        <v>0</v>
      </c>
      <c r="G35" s="52">
        <v>20000</v>
      </c>
      <c r="H35" s="53">
        <v>20000</v>
      </c>
      <c r="I35" s="53">
        <v>20000</v>
      </c>
      <c r="J35" s="15"/>
      <c r="K35" s="3"/>
      <c r="L35" s="3"/>
      <c r="M35" s="3"/>
      <c r="N35" s="3"/>
      <c r="O35" s="3"/>
      <c r="P35" s="3"/>
      <c r="Q35" s="3"/>
    </row>
    <row r="36" spans="1:17" ht="19.5" customHeight="1">
      <c r="A36" s="23"/>
      <c r="B36" s="19" t="s">
        <v>30</v>
      </c>
      <c r="C36" s="68">
        <v>45739.73</v>
      </c>
      <c r="D36" s="68">
        <v>47015.45</v>
      </c>
      <c r="E36" s="68">
        <v>35000</v>
      </c>
      <c r="F36" s="68">
        <v>35000</v>
      </c>
      <c r="G36" s="52">
        <v>30000</v>
      </c>
      <c r="H36" s="53">
        <v>30000</v>
      </c>
      <c r="I36" s="53">
        <v>30000</v>
      </c>
      <c r="J36" s="15"/>
      <c r="K36" s="3"/>
      <c r="L36" s="3"/>
      <c r="M36" s="3"/>
      <c r="N36" s="3"/>
      <c r="O36" s="3"/>
      <c r="P36" s="3"/>
      <c r="Q36" s="3"/>
    </row>
    <row r="37" spans="1:17" ht="19.5" customHeight="1">
      <c r="A37" s="23"/>
      <c r="B37" s="19" t="s">
        <v>31</v>
      </c>
      <c r="C37" s="68">
        <v>162259.53</v>
      </c>
      <c r="D37" s="68">
        <v>163277.04</v>
      </c>
      <c r="E37" s="68">
        <v>160000</v>
      </c>
      <c r="F37" s="68">
        <v>160000</v>
      </c>
      <c r="G37" s="53">
        <v>160000</v>
      </c>
      <c r="H37" s="53">
        <v>160000</v>
      </c>
      <c r="I37" s="53">
        <v>160000</v>
      </c>
      <c r="J37" s="15"/>
      <c r="K37" s="3"/>
      <c r="L37" s="3"/>
      <c r="M37" s="3"/>
      <c r="N37" s="3"/>
      <c r="O37" s="3"/>
      <c r="P37" s="3"/>
      <c r="Q37" s="3"/>
    </row>
    <row r="38" spans="1:17" ht="19.5" customHeight="1">
      <c r="A38" s="23"/>
      <c r="B38" s="19" t="s">
        <v>32</v>
      </c>
      <c r="C38" s="68">
        <v>13816.93</v>
      </c>
      <c r="D38" s="68">
        <v>13143.97</v>
      </c>
      <c r="E38" s="68">
        <v>13000</v>
      </c>
      <c r="F38" s="68">
        <v>13000</v>
      </c>
      <c r="G38" s="53">
        <v>13000</v>
      </c>
      <c r="H38" s="53">
        <v>13000</v>
      </c>
      <c r="I38" s="53">
        <v>13000</v>
      </c>
      <c r="J38" s="15"/>
      <c r="K38" s="3"/>
      <c r="L38" s="3"/>
      <c r="M38" s="3"/>
      <c r="N38" s="3"/>
      <c r="O38" s="3"/>
      <c r="P38" s="3"/>
      <c r="Q38" s="3"/>
    </row>
    <row r="39" spans="1:17" ht="19.5" customHeight="1">
      <c r="A39" s="23"/>
      <c r="B39" s="19" t="s">
        <v>33</v>
      </c>
      <c r="C39" s="68">
        <v>0</v>
      </c>
      <c r="D39" s="68">
        <v>187059.79</v>
      </c>
      <c r="E39" s="68">
        <v>190044</v>
      </c>
      <c r="F39" s="68">
        <f>189866+178</f>
        <v>190044</v>
      </c>
      <c r="G39" s="52">
        <v>188720</v>
      </c>
      <c r="H39" s="53">
        <v>188720</v>
      </c>
      <c r="I39" s="53">
        <v>188720</v>
      </c>
      <c r="J39" s="15"/>
      <c r="K39" s="3"/>
      <c r="L39" s="3"/>
      <c r="M39" s="3"/>
      <c r="N39" s="3"/>
      <c r="O39" s="3"/>
      <c r="P39" s="3"/>
      <c r="Q39" s="3"/>
    </row>
    <row r="40" spans="1:17" ht="21" customHeight="1">
      <c r="A40" s="23"/>
      <c r="B40" s="19" t="s">
        <v>34</v>
      </c>
      <c r="C40" s="68">
        <v>19512.19</v>
      </c>
      <c r="D40" s="68">
        <v>6488.56</v>
      </c>
      <c r="E40" s="68">
        <v>4126</v>
      </c>
      <c r="F40" s="68">
        <f>4126+13920</f>
        <v>18046</v>
      </c>
      <c r="G40" s="52">
        <v>21350</v>
      </c>
      <c r="H40" s="53">
        <v>21350</v>
      </c>
      <c r="I40" s="53">
        <v>21350</v>
      </c>
      <c r="J40" s="15"/>
      <c r="K40" s="3"/>
      <c r="L40" s="3"/>
      <c r="M40" s="3"/>
      <c r="N40" s="3"/>
      <c r="O40" s="3"/>
      <c r="P40" s="3"/>
      <c r="Q40" s="3"/>
    </row>
    <row r="41" spans="1:17" ht="19.5" customHeight="1">
      <c r="A41" s="16">
        <v>240</v>
      </c>
      <c r="B41" s="21" t="s">
        <v>35</v>
      </c>
      <c r="C41" s="54">
        <v>35335.99</v>
      </c>
      <c r="D41" s="54">
        <v>22572.42</v>
      </c>
      <c r="E41" s="54">
        <v>25000</v>
      </c>
      <c r="F41" s="54">
        <v>25000</v>
      </c>
      <c r="G41" s="22">
        <v>22000</v>
      </c>
      <c r="H41" s="22">
        <v>22000</v>
      </c>
      <c r="I41" s="22">
        <v>22000</v>
      </c>
      <c r="J41" s="15"/>
      <c r="K41" s="3"/>
      <c r="L41" s="3"/>
      <c r="M41" s="3"/>
      <c r="N41" s="3"/>
      <c r="O41" s="3"/>
      <c r="P41" s="3"/>
      <c r="Q41" s="3"/>
    </row>
    <row r="42" spans="1:17" ht="19.5" customHeight="1">
      <c r="A42" s="16">
        <v>290</v>
      </c>
      <c r="B42" s="21" t="s">
        <v>36</v>
      </c>
      <c r="C42" s="54">
        <f>203708.98+1245239.59</f>
        <v>1448948.57</v>
      </c>
      <c r="D42" s="54">
        <f>230986.11+1212528.24</f>
        <v>1443514.35</v>
      </c>
      <c r="E42" s="54">
        <v>1301080</v>
      </c>
      <c r="F42" s="54">
        <f>72000+1229080-740000</f>
        <v>561080</v>
      </c>
      <c r="G42" s="22">
        <f>101000+19100</f>
        <v>120100</v>
      </c>
      <c r="H42" s="22">
        <v>120100</v>
      </c>
      <c r="I42" s="22">
        <v>120100</v>
      </c>
      <c r="J42" s="15"/>
      <c r="K42" s="3"/>
      <c r="L42" s="3"/>
      <c r="M42" s="3"/>
      <c r="N42" s="3"/>
      <c r="O42" s="3"/>
      <c r="P42" s="3"/>
      <c r="Q42" s="3"/>
    </row>
    <row r="43" spans="1:17" ht="19.5" customHeight="1">
      <c r="A43" s="16">
        <v>310</v>
      </c>
      <c r="B43" s="17" t="s">
        <v>37</v>
      </c>
      <c r="C43" s="75">
        <v>3513158.7</v>
      </c>
      <c r="D43" s="75">
        <f>D44+D45</f>
        <v>3465750.27</v>
      </c>
      <c r="E43" s="75">
        <f>E44+E45</f>
        <v>3304576</v>
      </c>
      <c r="F43" s="54">
        <f>SUM(F44:F45)</f>
        <v>3485879.1899999995</v>
      </c>
      <c r="G43" s="22">
        <f>SUM(G45:G45)</f>
        <v>3510681</v>
      </c>
      <c r="H43" s="22">
        <f>SUM(H44:H45)</f>
        <v>3315681</v>
      </c>
      <c r="I43" s="22">
        <f>SUM(I44:I45)</f>
        <v>3315681</v>
      </c>
      <c r="J43" s="15"/>
      <c r="K43" s="3"/>
      <c r="L43" s="3"/>
      <c r="M43" s="3"/>
      <c r="N43" s="3"/>
      <c r="O43" s="3"/>
      <c r="P43" s="3"/>
      <c r="Q43" s="3"/>
    </row>
    <row r="44" spans="1:17" ht="19.5" customHeight="1">
      <c r="A44" s="16">
        <v>311</v>
      </c>
      <c r="B44" s="17" t="s">
        <v>38</v>
      </c>
      <c r="C44" s="75">
        <v>162398.09</v>
      </c>
      <c r="D44" s="75">
        <v>99455.58</v>
      </c>
      <c r="E44" s="75">
        <v>0</v>
      </c>
      <c r="F44" s="54">
        <v>5591.8</v>
      </c>
      <c r="G44" s="22">
        <v>0</v>
      </c>
      <c r="H44" s="22">
        <v>0</v>
      </c>
      <c r="I44" s="22">
        <v>0</v>
      </c>
      <c r="J44" s="15"/>
      <c r="K44" s="3"/>
      <c r="L44" s="3"/>
      <c r="M44" s="3"/>
      <c r="N44" s="3"/>
      <c r="O44" s="3"/>
      <c r="P44" s="3"/>
      <c r="Q44" s="3"/>
    </row>
    <row r="45" spans="1:17" ht="19.5" customHeight="1">
      <c r="A45" s="23">
        <v>312</v>
      </c>
      <c r="B45" s="24" t="s">
        <v>39</v>
      </c>
      <c r="C45" s="76">
        <f>C46+C47+C48+C49+C50+C51+C52+C53+C54+C55+C56+C57</f>
        <v>3350760.07</v>
      </c>
      <c r="D45" s="76">
        <f>D46+D47+D48+D49+D50+D51+D52+D53+D54+D55+D56+D57</f>
        <v>3366294.69</v>
      </c>
      <c r="E45" s="76">
        <f>E46+E47+E48+E49+E50+E51+E52+E53+E54+E55+E56+E57</f>
        <v>3304576</v>
      </c>
      <c r="F45" s="68">
        <f>F46+F47+F48+F49+F50+F51+F52+F53+F54+F55+F56+F57</f>
        <v>3480287.3899999997</v>
      </c>
      <c r="G45" s="53">
        <f>SUM(G46:G57)</f>
        <v>3510681</v>
      </c>
      <c r="H45" s="53">
        <f>SUM(H46:H57)</f>
        <v>3315681</v>
      </c>
      <c r="I45" s="53">
        <f>SUM(I46:I57)</f>
        <v>3315681</v>
      </c>
      <c r="J45" s="15"/>
      <c r="K45" s="3"/>
      <c r="L45" s="3"/>
      <c r="M45" s="3"/>
      <c r="N45" s="3"/>
      <c r="O45" s="3"/>
      <c r="P45" s="3"/>
      <c r="Q45" s="3"/>
    </row>
    <row r="46" spans="1:17" ht="19.5" customHeight="1">
      <c r="A46" s="23"/>
      <c r="B46" s="24" t="s">
        <v>40</v>
      </c>
      <c r="C46" s="76">
        <v>91290.07</v>
      </c>
      <c r="D46" s="76">
        <v>95712.99</v>
      </c>
      <c r="E46" s="76">
        <v>95713</v>
      </c>
      <c r="F46" s="68">
        <v>97030</v>
      </c>
      <c r="G46" s="52">
        <v>97050</v>
      </c>
      <c r="H46" s="53">
        <v>97050</v>
      </c>
      <c r="I46" s="53">
        <v>97050</v>
      </c>
      <c r="J46" s="15"/>
      <c r="K46" s="3"/>
      <c r="L46" s="3"/>
      <c r="M46" s="3"/>
      <c r="N46" s="3"/>
      <c r="O46" s="3"/>
      <c r="P46" s="3"/>
      <c r="Q46" s="3"/>
    </row>
    <row r="47" spans="1:17" ht="19.5" customHeight="1">
      <c r="A47" s="26"/>
      <c r="B47" s="25" t="s">
        <v>41</v>
      </c>
      <c r="C47" s="77">
        <v>2976700.98</v>
      </c>
      <c r="D47" s="77">
        <v>3077300.05</v>
      </c>
      <c r="E47" s="77">
        <v>3077804</v>
      </c>
      <c r="F47" s="68">
        <f>2950077+127727+51131+686.15-176-304+220.3+298.8+1095+378+452.95+1621+463+554+52+208.95+931</f>
        <v>3135416.15</v>
      </c>
      <c r="G47" s="52">
        <v>3128455</v>
      </c>
      <c r="H47" s="52">
        <v>3128455</v>
      </c>
      <c r="I47" s="53">
        <v>3128455</v>
      </c>
      <c r="J47" s="15"/>
      <c r="K47" s="3"/>
      <c r="L47" s="3"/>
      <c r="M47" s="3"/>
      <c r="N47" s="3"/>
      <c r="O47" s="3"/>
      <c r="P47" s="3"/>
      <c r="Q47" s="3"/>
    </row>
    <row r="48" spans="1:17" ht="19.5" customHeight="1">
      <c r="A48" s="23"/>
      <c r="B48" s="24" t="s">
        <v>42</v>
      </c>
      <c r="C48" s="76">
        <v>35133.54</v>
      </c>
      <c r="D48" s="76">
        <v>35375.34</v>
      </c>
      <c r="E48" s="76">
        <v>35375</v>
      </c>
      <c r="F48" s="68">
        <v>33969</v>
      </c>
      <c r="G48" s="52">
        <v>33970</v>
      </c>
      <c r="H48" s="53">
        <v>33970</v>
      </c>
      <c r="I48" s="53">
        <v>33970</v>
      </c>
      <c r="J48" s="15"/>
      <c r="K48" s="3"/>
      <c r="L48" s="3"/>
      <c r="M48" s="3"/>
      <c r="N48" s="3"/>
      <c r="O48" s="3"/>
      <c r="P48" s="3"/>
      <c r="Q48" s="3"/>
    </row>
    <row r="49" spans="1:17" ht="19.5" customHeight="1">
      <c r="A49" s="23"/>
      <c r="B49" s="24" t="s">
        <v>43</v>
      </c>
      <c r="C49" s="76">
        <v>1122.25</v>
      </c>
      <c r="D49" s="76">
        <v>2221.39</v>
      </c>
      <c r="E49" s="76">
        <v>800</v>
      </c>
      <c r="F49" s="68">
        <f>1003+692.86</f>
        <v>1695.8600000000001</v>
      </c>
      <c r="G49" s="52">
        <v>1500</v>
      </c>
      <c r="H49" s="53">
        <v>1500</v>
      </c>
      <c r="I49" s="53">
        <v>1500</v>
      </c>
      <c r="J49" s="15"/>
      <c r="K49" s="3"/>
      <c r="L49" s="3"/>
      <c r="M49" s="3"/>
      <c r="N49" s="3"/>
      <c r="O49" s="3"/>
      <c r="P49" s="3"/>
      <c r="Q49" s="3"/>
    </row>
    <row r="50" spans="1:17" ht="19.5" customHeight="1">
      <c r="A50" s="23"/>
      <c r="B50" s="25" t="s">
        <v>44</v>
      </c>
      <c r="C50" s="77">
        <v>24575</v>
      </c>
      <c r="D50" s="77">
        <v>25136</v>
      </c>
      <c r="E50" s="77">
        <v>25136</v>
      </c>
      <c r="F50" s="68">
        <v>25136</v>
      </c>
      <c r="G50" s="52">
        <v>25140</v>
      </c>
      <c r="H50" s="53">
        <v>25140</v>
      </c>
      <c r="I50" s="53">
        <v>25140</v>
      </c>
      <c r="J50" s="15"/>
      <c r="K50" s="3"/>
      <c r="L50" s="3"/>
      <c r="M50" s="3"/>
      <c r="N50" s="3"/>
      <c r="O50" s="3"/>
      <c r="P50" s="3"/>
      <c r="Q50" s="3"/>
    </row>
    <row r="51" spans="1:17" ht="19.5" customHeight="1">
      <c r="A51" s="23"/>
      <c r="B51" s="24" t="s">
        <v>45</v>
      </c>
      <c r="C51" s="76">
        <v>12466.74</v>
      </c>
      <c r="D51" s="76">
        <v>12552.54</v>
      </c>
      <c r="E51" s="76">
        <v>12553</v>
      </c>
      <c r="F51" s="68">
        <v>12054</v>
      </c>
      <c r="G51" s="52">
        <v>12055</v>
      </c>
      <c r="H51" s="53">
        <v>12055</v>
      </c>
      <c r="I51" s="53">
        <v>12055</v>
      </c>
      <c r="J51" s="15"/>
      <c r="K51" s="3"/>
      <c r="L51" s="3"/>
      <c r="M51" s="3"/>
      <c r="N51" s="3"/>
      <c r="O51" s="3"/>
      <c r="P51" s="3"/>
      <c r="Q51" s="3"/>
    </row>
    <row r="52" spans="1:17" ht="19.5" customHeight="1">
      <c r="A52" s="23"/>
      <c r="B52" s="24" t="s">
        <v>46</v>
      </c>
      <c r="C52" s="76">
        <v>3230.58</v>
      </c>
      <c r="D52" s="76">
        <v>3084.42</v>
      </c>
      <c r="E52" s="76">
        <v>3084</v>
      </c>
      <c r="F52" s="68">
        <v>2874.38</v>
      </c>
      <c r="G52" s="52">
        <v>2880</v>
      </c>
      <c r="H52" s="53">
        <v>2880</v>
      </c>
      <c r="I52" s="53">
        <v>2880</v>
      </c>
      <c r="J52" s="15"/>
      <c r="K52" s="3"/>
      <c r="L52" s="3"/>
      <c r="M52" s="3"/>
      <c r="N52" s="3"/>
      <c r="O52" s="3"/>
      <c r="P52" s="3"/>
      <c r="Q52" s="3"/>
    </row>
    <row r="53" spans="1:17" ht="19.5" customHeight="1">
      <c r="A53" s="23"/>
      <c r="B53" s="25" t="s">
        <v>47</v>
      </c>
      <c r="C53" s="77">
        <v>13563.96</v>
      </c>
      <c r="D53" s="77">
        <v>13667.32</v>
      </c>
      <c r="E53" s="77">
        <v>13667</v>
      </c>
      <c r="F53" s="68">
        <v>13155</v>
      </c>
      <c r="G53" s="52">
        <v>13156</v>
      </c>
      <c r="H53" s="53">
        <v>13156</v>
      </c>
      <c r="I53" s="53">
        <v>13156</v>
      </c>
      <c r="J53" s="15"/>
      <c r="K53" s="3"/>
      <c r="L53" s="3"/>
      <c r="M53" s="3"/>
      <c r="N53" s="3"/>
      <c r="O53" s="3"/>
      <c r="P53" s="3"/>
      <c r="Q53" s="3"/>
    </row>
    <row r="54" spans="1:17" ht="19.5" customHeight="1">
      <c r="A54" s="23"/>
      <c r="B54" s="24" t="s">
        <v>48</v>
      </c>
      <c r="C54" s="76">
        <v>1441.78</v>
      </c>
      <c r="D54" s="76">
        <v>1450</v>
      </c>
      <c r="E54" s="76">
        <v>1444</v>
      </c>
      <c r="F54" s="68">
        <f>1444+13</f>
        <v>1457</v>
      </c>
      <c r="G54" s="52">
        <v>1475</v>
      </c>
      <c r="H54" s="53">
        <v>1475</v>
      </c>
      <c r="I54" s="53">
        <v>1475</v>
      </c>
      <c r="J54" s="15"/>
      <c r="K54" s="3"/>
      <c r="L54" s="3"/>
      <c r="M54" s="3"/>
      <c r="N54" s="3"/>
      <c r="O54" s="3"/>
      <c r="P54" s="3"/>
      <c r="Q54" s="3"/>
    </row>
    <row r="55" spans="1:17" ht="19.5" customHeight="1">
      <c r="A55" s="23"/>
      <c r="B55" s="25" t="s">
        <v>187</v>
      </c>
      <c r="C55" s="77">
        <v>16344</v>
      </c>
      <c r="D55" s="77">
        <f>1800+2300</f>
        <v>4100</v>
      </c>
      <c r="E55" s="77">
        <v>0</v>
      </c>
      <c r="F55" s="68">
        <v>5500</v>
      </c>
      <c r="G55" s="52">
        <v>0</v>
      </c>
      <c r="H55" s="53">
        <v>0</v>
      </c>
      <c r="I55" s="53">
        <v>0</v>
      </c>
      <c r="J55" s="15"/>
      <c r="K55" s="3"/>
      <c r="L55" s="3"/>
      <c r="M55" s="3"/>
      <c r="N55" s="3"/>
      <c r="O55" s="3"/>
      <c r="P55" s="3"/>
      <c r="Q55" s="3"/>
    </row>
    <row r="56" spans="1:17" ht="19.5" customHeight="1">
      <c r="A56" s="23"/>
      <c r="B56" s="24" t="s">
        <v>188</v>
      </c>
      <c r="C56" s="76">
        <v>137200</v>
      </c>
      <c r="D56" s="76">
        <v>57000</v>
      </c>
      <c r="E56" s="76">
        <v>0</v>
      </c>
      <c r="F56" s="68">
        <f>0+110000+3000</f>
        <v>113000</v>
      </c>
      <c r="G56" s="52">
        <v>0</v>
      </c>
      <c r="H56" s="53">
        <v>0</v>
      </c>
      <c r="I56" s="53">
        <v>0</v>
      </c>
      <c r="J56" s="15"/>
      <c r="K56" s="3"/>
      <c r="L56" s="3"/>
      <c r="M56" s="3"/>
      <c r="N56" s="3"/>
      <c r="O56" s="3"/>
      <c r="P56" s="3"/>
      <c r="Q56" s="3"/>
    </row>
    <row r="57" spans="1:17" ht="19.5" customHeight="1">
      <c r="A57" s="23"/>
      <c r="B57" s="24" t="s">
        <v>49</v>
      </c>
      <c r="C57" s="76">
        <v>37691.17</v>
      </c>
      <c r="D57" s="76">
        <v>38694.64</v>
      </c>
      <c r="E57" s="76">
        <v>39000</v>
      </c>
      <c r="F57" s="68">
        <v>39000</v>
      </c>
      <c r="G57" s="52">
        <v>195000</v>
      </c>
      <c r="H57" s="53">
        <v>0</v>
      </c>
      <c r="I57" s="53">
        <v>0</v>
      </c>
      <c r="J57" s="15"/>
      <c r="K57" s="3"/>
      <c r="L57" s="3"/>
      <c r="M57" s="3"/>
      <c r="N57" s="3"/>
      <c r="O57" s="3"/>
      <c r="P57" s="3"/>
      <c r="Q57" s="3"/>
    </row>
    <row r="58" spans="1:17" ht="19.5" customHeight="1">
      <c r="A58" s="61"/>
      <c r="B58" s="59" t="s">
        <v>50</v>
      </c>
      <c r="C58" s="67">
        <f aca="true" t="shared" si="1" ref="C58:I58">C59+C62</f>
        <v>104137.87</v>
      </c>
      <c r="D58" s="67">
        <f t="shared" si="1"/>
        <v>431569.05</v>
      </c>
      <c r="E58" s="67">
        <f t="shared" si="1"/>
        <v>2905191</v>
      </c>
      <c r="F58" s="67">
        <f t="shared" si="1"/>
        <v>420386</v>
      </c>
      <c r="G58" s="67">
        <f t="shared" si="1"/>
        <v>4550958.24</v>
      </c>
      <c r="H58" s="60">
        <f t="shared" si="1"/>
        <v>0</v>
      </c>
      <c r="I58" s="60">
        <f t="shared" si="1"/>
        <v>0</v>
      </c>
      <c r="J58" s="15"/>
      <c r="K58" s="3"/>
      <c r="L58" s="3"/>
      <c r="M58" s="3"/>
      <c r="N58" s="3"/>
      <c r="O58" s="3"/>
      <c r="P58" s="3"/>
      <c r="Q58" s="3"/>
    </row>
    <row r="59" spans="1:17" ht="19.5" customHeight="1">
      <c r="A59" s="20">
        <v>230</v>
      </c>
      <c r="B59" s="21" t="s">
        <v>51</v>
      </c>
      <c r="C59" s="54">
        <f>C60+C61</f>
        <v>104137.87</v>
      </c>
      <c r="D59" s="54">
        <f>D60+D61</f>
        <v>417669.61</v>
      </c>
      <c r="E59" s="54">
        <f>E60+E61</f>
        <v>346750</v>
      </c>
      <c r="F59" s="54">
        <f>SUM(F60:F61)</f>
        <v>346750</v>
      </c>
      <c r="G59" s="54">
        <f>SUM(G60:G61)</f>
        <v>98064</v>
      </c>
      <c r="H59" s="22">
        <f>SUM(H60:H61)</f>
        <v>0</v>
      </c>
      <c r="I59" s="22">
        <f>SUM(I60:I61)</f>
        <v>0</v>
      </c>
      <c r="J59" s="15"/>
      <c r="K59" s="3"/>
      <c r="L59" s="3"/>
      <c r="M59" s="3"/>
      <c r="N59" s="3"/>
      <c r="O59" s="3"/>
      <c r="P59" s="3"/>
      <c r="Q59" s="3"/>
    </row>
    <row r="60" spans="1:17" ht="19.5" customHeight="1">
      <c r="A60" s="18">
        <v>231</v>
      </c>
      <c r="B60" s="19" t="s">
        <v>52</v>
      </c>
      <c r="C60" s="68">
        <v>9918.87</v>
      </c>
      <c r="D60" s="68">
        <v>252044.11</v>
      </c>
      <c r="E60" s="68">
        <v>238750</v>
      </c>
      <c r="F60" s="68">
        <v>238750</v>
      </c>
      <c r="G60" s="69">
        <v>4064</v>
      </c>
      <c r="H60" s="53">
        <v>0</v>
      </c>
      <c r="I60" s="53">
        <v>0</v>
      </c>
      <c r="J60" s="49"/>
      <c r="K60" s="3"/>
      <c r="L60" s="3"/>
      <c r="M60" s="3"/>
      <c r="N60" s="3"/>
      <c r="O60" s="3"/>
      <c r="P60" s="3"/>
      <c r="Q60" s="3"/>
    </row>
    <row r="61" spans="1:17" ht="19.5" customHeight="1">
      <c r="A61" s="18">
        <v>233</v>
      </c>
      <c r="B61" s="19" t="s">
        <v>53</v>
      </c>
      <c r="C61" s="68">
        <v>94219</v>
      </c>
      <c r="D61" s="68">
        <v>165625.5</v>
      </c>
      <c r="E61" s="68">
        <v>108000</v>
      </c>
      <c r="F61" s="68">
        <v>108000</v>
      </c>
      <c r="G61" s="69">
        <v>94000</v>
      </c>
      <c r="H61" s="53">
        <v>0</v>
      </c>
      <c r="I61" s="53">
        <v>0</v>
      </c>
      <c r="J61" s="49"/>
      <c r="K61" s="3"/>
      <c r="L61" s="3"/>
      <c r="M61" s="3"/>
      <c r="N61" s="3"/>
      <c r="O61" s="3"/>
      <c r="P61" s="3"/>
      <c r="Q61" s="3"/>
    </row>
    <row r="62" spans="1:17" ht="19.5" customHeight="1">
      <c r="A62" s="20">
        <v>320</v>
      </c>
      <c r="B62" s="47" t="s">
        <v>54</v>
      </c>
      <c r="C62" s="79">
        <f>C63+C64</f>
        <v>0</v>
      </c>
      <c r="D62" s="79">
        <f>D63+D64</f>
        <v>13899.44</v>
      </c>
      <c r="E62" s="79">
        <f>E63+E64</f>
        <v>2558441</v>
      </c>
      <c r="F62" s="54">
        <v>73636</v>
      </c>
      <c r="G62" s="54">
        <f>G63+G64</f>
        <v>4452894.24</v>
      </c>
      <c r="H62" s="22">
        <f>H63+H64</f>
        <v>0</v>
      </c>
      <c r="I62" s="22">
        <f>I63+I64</f>
        <v>0</v>
      </c>
      <c r="J62" s="15"/>
      <c r="K62" s="3"/>
      <c r="L62" s="3"/>
      <c r="M62" s="3"/>
      <c r="N62" s="3"/>
      <c r="O62" s="3"/>
      <c r="P62" s="3"/>
      <c r="Q62" s="3"/>
    </row>
    <row r="63" spans="1:17" ht="19.5" customHeight="1">
      <c r="A63" s="18">
        <v>322</v>
      </c>
      <c r="B63" s="48" t="s">
        <v>186</v>
      </c>
      <c r="C63" s="78">
        <v>0</v>
      </c>
      <c r="D63" s="78">
        <v>3399.44</v>
      </c>
      <c r="E63" s="78">
        <v>0</v>
      </c>
      <c r="F63" s="68">
        <v>4500</v>
      </c>
      <c r="G63" s="69">
        <v>0</v>
      </c>
      <c r="H63" s="53">
        <v>0</v>
      </c>
      <c r="I63" s="53">
        <v>0</v>
      </c>
      <c r="J63" s="15"/>
      <c r="K63" s="3"/>
      <c r="L63" s="3"/>
      <c r="M63" s="3"/>
      <c r="N63" s="3"/>
      <c r="O63" s="3"/>
      <c r="P63" s="3"/>
      <c r="Q63" s="3"/>
    </row>
    <row r="64" spans="1:17" ht="19.5" customHeight="1">
      <c r="A64" s="18">
        <v>322</v>
      </c>
      <c r="B64" s="48" t="s">
        <v>189</v>
      </c>
      <c r="C64" s="78">
        <v>0</v>
      </c>
      <c r="D64" s="78">
        <v>10500</v>
      </c>
      <c r="E64" s="78">
        <v>2558441</v>
      </c>
      <c r="F64" s="68">
        <f>643942-574806.1</f>
        <v>69135.90000000002</v>
      </c>
      <c r="G64" s="69">
        <v>4452894.24</v>
      </c>
      <c r="H64" s="53">
        <v>0</v>
      </c>
      <c r="I64" s="53">
        <v>0</v>
      </c>
      <c r="J64" s="27"/>
      <c r="K64" s="28"/>
      <c r="L64" s="3"/>
      <c r="M64" s="3"/>
      <c r="N64" s="3"/>
      <c r="O64" s="3"/>
      <c r="P64" s="3"/>
      <c r="Q64" s="3"/>
    </row>
    <row r="65" spans="1:17" ht="19.5" customHeight="1">
      <c r="A65" s="61"/>
      <c r="B65" s="59" t="s">
        <v>55</v>
      </c>
      <c r="C65" s="67">
        <f>C66+C67+C68</f>
        <v>807654.72</v>
      </c>
      <c r="D65" s="67">
        <f>D66+D67+D68</f>
        <v>597154.45</v>
      </c>
      <c r="E65" s="67">
        <f>E66+E67+E68</f>
        <v>2233986</v>
      </c>
      <c r="F65" s="67">
        <v>2494377</v>
      </c>
      <c r="G65" s="67">
        <f>G67</f>
        <v>3224651.55</v>
      </c>
      <c r="H65" s="60">
        <f>H67+H66+H68</f>
        <v>0</v>
      </c>
      <c r="I65" s="60">
        <f>I67+I66+I68</f>
        <v>0</v>
      </c>
      <c r="J65" s="15"/>
      <c r="K65" s="3"/>
      <c r="L65" s="3"/>
      <c r="M65" s="3"/>
      <c r="N65" s="3"/>
      <c r="O65" s="3"/>
      <c r="P65" s="3"/>
      <c r="Q65" s="3"/>
    </row>
    <row r="66" spans="1:17" ht="19.5" customHeight="1">
      <c r="A66" s="18">
        <v>453</v>
      </c>
      <c r="B66" s="19" t="s">
        <v>56</v>
      </c>
      <c r="C66" s="68">
        <v>0</v>
      </c>
      <c r="D66" s="68">
        <v>142246.6</v>
      </c>
      <c r="E66" s="68">
        <v>0</v>
      </c>
      <c r="F66" s="68">
        <f>33922+387</f>
        <v>34309</v>
      </c>
      <c r="G66" s="69">
        <v>0</v>
      </c>
      <c r="H66" s="53">
        <v>0</v>
      </c>
      <c r="I66" s="53">
        <v>0</v>
      </c>
      <c r="J66" s="15"/>
      <c r="K66" s="3"/>
      <c r="L66" s="3"/>
      <c r="M66" s="3"/>
      <c r="N66" s="3"/>
      <c r="O66" s="3"/>
      <c r="P66" s="3"/>
      <c r="Q66" s="3"/>
    </row>
    <row r="67" spans="1:17" ht="19.5" customHeight="1">
      <c r="A67" s="18">
        <v>454</v>
      </c>
      <c r="B67" s="19" t="s">
        <v>57</v>
      </c>
      <c r="C67" s="68">
        <v>55000</v>
      </c>
      <c r="D67" s="68">
        <v>454907.85</v>
      </c>
      <c r="E67" s="68">
        <v>2233986</v>
      </c>
      <c r="F67" s="68">
        <f>2461752+50641+260000+72000+2500+13500+10500+43452-454277.2</f>
        <v>2460067.8</v>
      </c>
      <c r="G67" s="69">
        <v>3224651.55</v>
      </c>
      <c r="H67" s="53">
        <v>0</v>
      </c>
      <c r="I67" s="53">
        <v>0</v>
      </c>
      <c r="J67" s="27"/>
      <c r="K67" s="3"/>
      <c r="L67" s="3"/>
      <c r="M67" s="3"/>
      <c r="N67" s="3"/>
      <c r="O67" s="3"/>
      <c r="P67" s="3"/>
      <c r="Q67" s="3"/>
    </row>
    <row r="68" spans="1:17" ht="19.5" customHeight="1">
      <c r="A68" s="18">
        <v>456</v>
      </c>
      <c r="B68" s="19" t="s">
        <v>190</v>
      </c>
      <c r="C68" s="68">
        <v>752654.72</v>
      </c>
      <c r="D68" s="68">
        <v>0</v>
      </c>
      <c r="E68" s="68">
        <v>0</v>
      </c>
      <c r="F68" s="68">
        <v>0</v>
      </c>
      <c r="G68" s="69">
        <v>0</v>
      </c>
      <c r="H68" s="53">
        <v>0</v>
      </c>
      <c r="I68" s="53">
        <v>0</v>
      </c>
      <c r="J68" s="15"/>
      <c r="K68" s="3"/>
      <c r="L68" s="3"/>
      <c r="M68" s="3"/>
      <c r="N68" s="3"/>
      <c r="O68" s="3"/>
      <c r="P68" s="3"/>
      <c r="Q68" s="3"/>
    </row>
    <row r="69" spans="1:17" ht="19.5" customHeight="1">
      <c r="A69" s="59"/>
      <c r="B69" s="59" t="s">
        <v>58</v>
      </c>
      <c r="C69" s="67">
        <f aca="true" t="shared" si="2" ref="C69:I69">C65+C58+C11</f>
        <v>15220454.29</v>
      </c>
      <c r="D69" s="67">
        <f t="shared" si="2"/>
        <v>16756152.43</v>
      </c>
      <c r="E69" s="67">
        <f t="shared" si="2"/>
        <v>20716229</v>
      </c>
      <c r="F69" s="67">
        <f t="shared" si="2"/>
        <v>17698331.189999998</v>
      </c>
      <c r="G69" s="67">
        <f t="shared" si="2"/>
        <v>22387170.79</v>
      </c>
      <c r="H69" s="60">
        <f t="shared" si="2"/>
        <v>14391452</v>
      </c>
      <c r="I69" s="60">
        <f t="shared" si="2"/>
        <v>14650475</v>
      </c>
      <c r="J69" s="15"/>
      <c r="K69" s="3"/>
      <c r="L69" s="3"/>
      <c r="M69" s="3"/>
      <c r="N69" s="3"/>
      <c r="O69" s="3"/>
      <c r="P69" s="3"/>
      <c r="Q69" s="3"/>
    </row>
    <row r="70" spans="6:17" ht="15.75">
      <c r="F70" s="32"/>
      <c r="G70" s="3"/>
      <c r="H70" s="29"/>
      <c r="I70" s="29"/>
      <c r="J70" s="15"/>
      <c r="K70" s="3"/>
      <c r="L70" s="3"/>
      <c r="M70" s="3"/>
      <c r="N70" s="3"/>
      <c r="O70" s="3"/>
      <c r="P70" s="3"/>
      <c r="Q70" s="3"/>
    </row>
    <row r="71" spans="1:17" ht="15.75">
      <c r="A71" s="30"/>
      <c r="B71" s="31"/>
      <c r="C71" s="31"/>
      <c r="D71" s="31"/>
      <c r="E71" s="31"/>
      <c r="F71" s="32"/>
      <c r="G71" s="30"/>
      <c r="H71" s="32"/>
      <c r="I71" s="32"/>
      <c r="J71" s="15"/>
      <c r="K71" s="3"/>
      <c r="L71" s="3"/>
      <c r="M71" s="3"/>
      <c r="N71" s="3"/>
      <c r="O71" s="3"/>
      <c r="P71" s="3"/>
      <c r="Q71" s="3"/>
    </row>
    <row r="72" spans="1:17" ht="15.75">
      <c r="A72" s="15"/>
      <c r="B72" s="15"/>
      <c r="C72" s="15"/>
      <c r="D72" s="15"/>
      <c r="E72" s="15"/>
      <c r="F72" s="73"/>
      <c r="G72" s="3"/>
      <c r="H72" s="29"/>
      <c r="I72" s="29"/>
      <c r="J72" s="15"/>
      <c r="K72" s="3"/>
      <c r="L72" s="3"/>
      <c r="M72" s="3"/>
      <c r="N72" s="3"/>
      <c r="O72" s="3"/>
      <c r="P72" s="3"/>
      <c r="Q72" s="3"/>
    </row>
    <row r="73" spans="4:17" ht="26.25">
      <c r="D73" s="80">
        <v>27</v>
      </c>
      <c r="F73" s="72"/>
      <c r="G73" s="3"/>
      <c r="H73" s="29"/>
      <c r="I73" s="29"/>
      <c r="J73" s="15"/>
      <c r="K73" s="3"/>
      <c r="L73" s="3"/>
      <c r="M73" s="3"/>
      <c r="N73" s="3"/>
      <c r="O73" s="3"/>
      <c r="P73" s="3"/>
      <c r="Q73" s="3"/>
    </row>
    <row r="74" spans="7:17" ht="12.75">
      <c r="G74" s="3"/>
      <c r="H74" s="29"/>
      <c r="I74" s="29"/>
      <c r="J74" s="15"/>
      <c r="K74" s="3"/>
      <c r="L74" s="3"/>
      <c r="M74" s="3"/>
      <c r="N74" s="3"/>
      <c r="O74" s="3"/>
      <c r="P74" s="3"/>
      <c r="Q74" s="3"/>
    </row>
    <row r="75" spans="7:17" ht="12.75">
      <c r="G75" s="3"/>
      <c r="H75" s="29"/>
      <c r="I75" s="29"/>
      <c r="J75" s="15"/>
      <c r="K75" s="3"/>
      <c r="L75" s="3"/>
      <c r="M75" s="3"/>
      <c r="N75" s="3"/>
      <c r="O75" s="3"/>
      <c r="P75" s="3"/>
      <c r="Q75" s="3"/>
    </row>
    <row r="76" spans="7:17" ht="12.75">
      <c r="G76" s="3"/>
      <c r="H76" s="29"/>
      <c r="I76" s="29"/>
      <c r="J76" s="15"/>
      <c r="K76" s="3"/>
      <c r="L76" s="3"/>
      <c r="M76" s="3"/>
      <c r="N76" s="3"/>
      <c r="O76" s="3"/>
      <c r="P76" s="3"/>
      <c r="Q76" s="3"/>
    </row>
    <row r="77" spans="7:17" ht="12.75">
      <c r="G77" s="3"/>
      <c r="H77" s="29"/>
      <c r="I77" s="29"/>
      <c r="J77" s="15"/>
      <c r="K77" s="3"/>
      <c r="L77" s="3"/>
      <c r="M77" s="3"/>
      <c r="N77" s="3"/>
      <c r="O77" s="3"/>
      <c r="P77" s="3"/>
      <c r="Q77" s="3"/>
    </row>
    <row r="78" spans="7:17" ht="12.75">
      <c r="G78" s="3"/>
      <c r="H78" s="29"/>
      <c r="I78" s="29"/>
      <c r="J78" s="15"/>
      <c r="K78" s="3"/>
      <c r="L78" s="3"/>
      <c r="M78" s="3"/>
      <c r="N78" s="3"/>
      <c r="O78" s="3"/>
      <c r="P78" s="3"/>
      <c r="Q78" s="3"/>
    </row>
    <row r="79" spans="7:17" ht="12.75">
      <c r="G79" s="3"/>
      <c r="H79" s="29"/>
      <c r="I79" s="29"/>
      <c r="J79" s="15"/>
      <c r="K79" s="3"/>
      <c r="L79" s="3"/>
      <c r="M79" s="3"/>
      <c r="N79" s="3"/>
      <c r="O79" s="3"/>
      <c r="P79" s="3"/>
      <c r="Q79" s="3"/>
    </row>
    <row r="80" spans="7:17" ht="12.75">
      <c r="G80" s="3"/>
      <c r="H80" s="29"/>
      <c r="I80" s="29"/>
      <c r="J80" s="15"/>
      <c r="K80" s="3"/>
      <c r="L80" s="3"/>
      <c r="M80" s="3"/>
      <c r="N80" s="3"/>
      <c r="O80" s="3"/>
      <c r="P80" s="3"/>
      <c r="Q80" s="3"/>
    </row>
    <row r="81" spans="7:17" ht="12.75">
      <c r="G81" s="3"/>
      <c r="H81" s="29"/>
      <c r="I81" s="15"/>
      <c r="J81" s="15"/>
      <c r="K81" s="3"/>
      <c r="L81" s="3"/>
      <c r="M81" s="3"/>
      <c r="N81" s="3"/>
      <c r="O81" s="3"/>
      <c r="P81" s="3"/>
      <c r="Q81" s="3"/>
    </row>
    <row r="82" spans="7:17" ht="12.75">
      <c r="G82" s="3"/>
      <c r="H82" s="29"/>
      <c r="I82" s="15"/>
      <c r="J82" s="15"/>
      <c r="K82" s="3"/>
      <c r="L82" s="3"/>
      <c r="M82" s="3"/>
      <c r="N82" s="3"/>
      <c r="O82" s="3"/>
      <c r="P82" s="3"/>
      <c r="Q82" s="3"/>
    </row>
    <row r="83" spans="7:17" ht="12.75">
      <c r="G83" s="3"/>
      <c r="H83" s="29"/>
      <c r="I83" s="15"/>
      <c r="J83" s="15"/>
      <c r="K83" s="3"/>
      <c r="L83" s="3"/>
      <c r="M83" s="3"/>
      <c r="N83" s="3"/>
      <c r="O83" s="3"/>
      <c r="P83" s="3"/>
      <c r="Q83" s="3"/>
    </row>
    <row r="84" spans="7:17" ht="12.75">
      <c r="G84" s="3"/>
      <c r="H84" s="29"/>
      <c r="I84" s="15"/>
      <c r="J84" s="15"/>
      <c r="K84" s="3"/>
      <c r="L84" s="3"/>
      <c r="M84" s="3"/>
      <c r="N84" s="3"/>
      <c r="O84" s="3"/>
      <c r="P84" s="3"/>
      <c r="Q84" s="3"/>
    </row>
    <row r="85" spans="7:17" ht="12.75">
      <c r="G85" s="3"/>
      <c r="H85" s="29"/>
      <c r="I85" s="15"/>
      <c r="J85" s="15"/>
      <c r="K85" s="3"/>
      <c r="L85" s="3"/>
      <c r="M85" s="3"/>
      <c r="N85" s="3"/>
      <c r="O85" s="3"/>
      <c r="P85" s="3"/>
      <c r="Q85" s="3"/>
    </row>
    <row r="86" spans="7:17" ht="12.75">
      <c r="G86" s="3"/>
      <c r="H86" s="29"/>
      <c r="I86" s="15"/>
      <c r="J86" s="15"/>
      <c r="K86" s="3"/>
      <c r="L86" s="3"/>
      <c r="M86" s="3"/>
      <c r="N86" s="3"/>
      <c r="O86" s="3"/>
      <c r="P86" s="3"/>
      <c r="Q86" s="3"/>
    </row>
    <row r="87" spans="7:17" ht="12.75">
      <c r="G87" s="3"/>
      <c r="H87" s="3"/>
      <c r="I87" s="15"/>
      <c r="J87" s="15"/>
      <c r="K87" s="3"/>
      <c r="L87" s="3"/>
      <c r="M87" s="3"/>
      <c r="N87" s="3"/>
      <c r="O87" s="3"/>
      <c r="P87" s="3"/>
      <c r="Q87" s="3"/>
    </row>
    <row r="88" spans="7:17" ht="12.75">
      <c r="G88" s="3"/>
      <c r="H88" s="3"/>
      <c r="I88" s="15"/>
      <c r="J88" s="15"/>
      <c r="K88" s="3"/>
      <c r="L88" s="3"/>
      <c r="M88" s="3"/>
      <c r="N88" s="3"/>
      <c r="O88" s="3"/>
      <c r="P88" s="3"/>
      <c r="Q88" s="3"/>
    </row>
    <row r="89" spans="7:17" ht="12.75">
      <c r="G89" s="3"/>
      <c r="H89" s="3"/>
      <c r="I89" s="15"/>
      <c r="J89" s="15"/>
      <c r="K89" s="3"/>
      <c r="L89" s="3"/>
      <c r="M89" s="3"/>
      <c r="N89" s="3"/>
      <c r="O89" s="3"/>
      <c r="P89" s="3"/>
      <c r="Q89" s="3"/>
    </row>
    <row r="90" spans="7:17" ht="12.75">
      <c r="G90" s="3"/>
      <c r="H90" s="3"/>
      <c r="I90" s="15"/>
      <c r="J90" s="15"/>
      <c r="K90" s="3"/>
      <c r="L90" s="3"/>
      <c r="M90" s="3"/>
      <c r="N90" s="3"/>
      <c r="O90" s="3"/>
      <c r="P90" s="3"/>
      <c r="Q90" s="3"/>
    </row>
    <row r="91" spans="7:17" ht="12.75">
      <c r="G91" s="3"/>
      <c r="H91" s="3"/>
      <c r="I91" s="15"/>
      <c r="J91" s="15"/>
      <c r="K91" s="3"/>
      <c r="L91" s="3"/>
      <c r="M91" s="3"/>
      <c r="N91" s="3"/>
      <c r="O91" s="3"/>
      <c r="P91" s="3"/>
      <c r="Q91" s="3"/>
    </row>
    <row r="92" spans="7:17" ht="12.75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7:17" ht="12.75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7:17" ht="12.75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7:17" ht="12.75"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7:17" ht="12.75"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7:17" ht="12.75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7:17" ht="12.75"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7:17" ht="12.75"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7:17" ht="12.75"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7:17" ht="12.75"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7:17" ht="12.75"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7:17" ht="12.75"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7:17" ht="12.75"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7:17" ht="12.75"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7:17" ht="12.75"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7:17" ht="12.75"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7:17" ht="12.75"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7:17" ht="12.75"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7:17" ht="12.75"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7:17" ht="12.75"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7:17" ht="12.75"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7:17" ht="12.75"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7:17" ht="12.75"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7:17" ht="12.75"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7:17" ht="12.75"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7:17" ht="12.75"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7:17" ht="12.75"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7:17" ht="12.75"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7:17" ht="12.75"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7:17" ht="12.75"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7:17" ht="12.75"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7:17" ht="12.75"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7:17" ht="12.75"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7:17" ht="12.75"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7:17" ht="12.75"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7:17" ht="12.75"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7:17" ht="12.75"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7:17" ht="12.75"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7:17" ht="12.75"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7:17" ht="12.75"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7:17" ht="12.75"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7:17" ht="12.75"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7:17" ht="12.75"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7:17" ht="12.75"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7:17" ht="12.75"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7:17" ht="12.75"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7:17" ht="12.75"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7:17" ht="12.75"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7:17" ht="12.75"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7:17" ht="12.75"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7:17" ht="12.75"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7:17" ht="12.75"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7:17" ht="12.75"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7:17" ht="12.75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7:17" ht="12.75"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7:17" ht="12.75"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7:17" ht="12.75"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7:17" ht="12.75"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7:17" ht="12.75"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7:17" ht="12.75"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7:17" ht="12.75"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7:17" ht="12.75"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7:17" ht="12.75"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7:17" ht="12.75"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7:17" ht="12.75"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7:17" ht="12.75"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7:17" ht="12.75"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7:17" ht="12.75"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7:17" ht="12.75"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7:17" ht="12.75"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7:17" ht="12.75"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7:17" ht="12.75"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7:17" ht="12.75"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7:17" ht="12.75"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7:17" ht="12.75"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7:17" ht="12.75"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7:17" ht="12.75"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7:17" ht="12.75"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7:17" ht="12.75"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7:17" ht="12.75"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7:17" ht="12.75"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7:17" ht="12.75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7:17" ht="12.75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7:17" ht="12.75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7:17" ht="12.75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7:17" ht="12.75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7:17" ht="12.75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7:17" ht="12.75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7:17" ht="12.75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7:17" ht="12.75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7:17" ht="12.75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7:17" ht="12.75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7:17" ht="12.75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7:17" ht="12.75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7:17" ht="12.75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7:17" ht="12.75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7:17" ht="12.75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7:17" ht="12.75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7:17" ht="12.75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7:17" ht="12.75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7:17" ht="12.75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7:17" ht="12.75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7:17" ht="12.75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7:17" ht="12.75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7:17" ht="12.75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7:17" ht="12.75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7:17" ht="12.75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7:17" ht="12.75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7:17" ht="12.75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7:17" ht="12.75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7:17" ht="12.75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7:17" ht="12.75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7:17" ht="12.75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7:17" ht="12.75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7:17" ht="12.75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7:17" ht="12.75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7:17" ht="12.75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7:17" ht="12.75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7:17" ht="12.75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7:17" ht="12.75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7:17" ht="12.75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7:17" ht="12.75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7:17" ht="12.75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7:17" ht="12.75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7:17" ht="12.75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7:17" ht="12.75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7:17" ht="12.75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7:17" ht="12.75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7:17" ht="12.75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7:17" ht="12.75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7:17" ht="12.75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7:17" ht="12.75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7:17" ht="12.75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7:17" ht="12.75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7:17" ht="12.75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7:17" ht="12.75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7:17" ht="12.75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7:17" ht="12.75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7:17" ht="12.75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7:17" ht="12.75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7:17" ht="12.75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7:17" ht="12.75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7:17" ht="12.75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7:17" ht="12.75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7:17" ht="12.75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7:17" ht="12.75"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7:17" ht="12.75"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</sheetData>
  <mergeCells count="1">
    <mergeCell ref="A9:B9"/>
  </mergeCells>
  <printOptions/>
  <pageMargins left="1.44" right="0.7874015748031497" top="0.984251968503937" bottom="0.984251968503937" header="0.5118110236220472" footer="0.5118110236220472"/>
  <pageSetup horizontalDpi="600" verticalDpi="600" orientation="portrait" paperSize="9" scale="48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86"/>
  <sheetViews>
    <sheetView tabSelected="1" workbookViewId="0" topLeftCell="C46">
      <selection activeCell="K55" sqref="K55"/>
    </sheetView>
  </sheetViews>
  <sheetFormatPr defaultColWidth="9.140625" defaultRowHeight="12.75"/>
  <cols>
    <col min="2" max="2" width="7.00390625" style="0" customWidth="1"/>
    <col min="3" max="3" width="57.00390625" style="0" customWidth="1"/>
    <col min="4" max="8" width="16.140625" style="0" bestFit="1" customWidth="1"/>
    <col min="9" max="9" width="14.00390625" style="0" bestFit="1" customWidth="1"/>
    <col min="10" max="10" width="13.00390625" style="0" bestFit="1" customWidth="1"/>
  </cols>
  <sheetData>
    <row r="1" spans="1:2" ht="18.75">
      <c r="A1" s="1" t="s">
        <v>0</v>
      </c>
      <c r="B1" s="2"/>
    </row>
    <row r="2" spans="1:10" ht="18.75">
      <c r="A2" s="1" t="s">
        <v>1</v>
      </c>
      <c r="B2" s="2"/>
      <c r="H2" s="3"/>
      <c r="I2" s="3"/>
      <c r="J2" s="3"/>
    </row>
    <row r="3" spans="1:10" ht="18.75">
      <c r="A3" s="1" t="s">
        <v>2</v>
      </c>
      <c r="B3" s="2"/>
      <c r="C3" s="5"/>
      <c r="D3" s="5"/>
      <c r="E3" s="5"/>
      <c r="F3" s="5"/>
      <c r="G3" s="5"/>
      <c r="H3" s="33"/>
      <c r="I3" s="33"/>
      <c r="J3" s="34"/>
    </row>
    <row r="4" spans="1:10" ht="18.75">
      <c r="A4" s="1"/>
      <c r="B4" s="2"/>
      <c r="C4" s="5"/>
      <c r="D4" s="5"/>
      <c r="E4" s="5"/>
      <c r="F4" s="5"/>
      <c r="G4" s="5"/>
      <c r="H4" s="33"/>
      <c r="I4" s="33"/>
      <c r="J4" s="34"/>
    </row>
    <row r="5" spans="1:10" ht="25.5">
      <c r="A5" s="4" t="s">
        <v>199</v>
      </c>
      <c r="B5" s="5"/>
      <c r="C5" s="5"/>
      <c r="D5" s="5"/>
      <c r="E5" s="5"/>
      <c r="F5" s="5"/>
      <c r="G5" s="5"/>
      <c r="H5" s="33"/>
      <c r="I5" s="33"/>
      <c r="J5" s="34"/>
    </row>
    <row r="6" spans="1:10" ht="25.5">
      <c r="A6" s="4" t="s">
        <v>59</v>
      </c>
      <c r="B6" s="5"/>
      <c r="C6" s="5"/>
      <c r="D6" s="5"/>
      <c r="E6" s="5"/>
      <c r="F6" s="5"/>
      <c r="G6" s="5"/>
      <c r="H6" s="33"/>
      <c r="I6" s="33"/>
      <c r="J6" s="15"/>
    </row>
    <row r="7" spans="1:10" ht="12.75">
      <c r="A7" s="35"/>
      <c r="B7" s="35"/>
      <c r="C7" s="35"/>
      <c r="D7" s="35"/>
      <c r="E7" s="35"/>
      <c r="F7" s="35"/>
      <c r="G7" s="35"/>
      <c r="H7" s="36"/>
      <c r="I7" s="36"/>
      <c r="J7" s="15"/>
    </row>
    <row r="8" spans="1:11" ht="15.75">
      <c r="A8" s="37"/>
      <c r="B8" s="38"/>
      <c r="C8" s="39"/>
      <c r="D8" s="9" t="s">
        <v>202</v>
      </c>
      <c r="E8" s="9" t="s">
        <v>202</v>
      </c>
      <c r="F8" s="9" t="s">
        <v>196</v>
      </c>
      <c r="G8" s="10" t="s">
        <v>200</v>
      </c>
      <c r="H8" s="55" t="s">
        <v>183</v>
      </c>
      <c r="I8" s="55" t="s">
        <v>183</v>
      </c>
      <c r="J8" s="55" t="s">
        <v>183</v>
      </c>
      <c r="K8" s="15"/>
    </row>
    <row r="9" spans="1:11" ht="15.75">
      <c r="A9" s="85" t="s">
        <v>60</v>
      </c>
      <c r="B9" s="86"/>
      <c r="C9" s="87"/>
      <c r="D9" s="71" t="s">
        <v>203</v>
      </c>
      <c r="E9" s="71" t="s">
        <v>203</v>
      </c>
      <c r="F9" s="71" t="s">
        <v>197</v>
      </c>
      <c r="G9" s="11" t="s">
        <v>201</v>
      </c>
      <c r="H9" s="56" t="s">
        <v>184</v>
      </c>
      <c r="I9" s="56" t="s">
        <v>184</v>
      </c>
      <c r="J9" s="56" t="s">
        <v>184</v>
      </c>
      <c r="K9" s="15"/>
    </row>
    <row r="10" spans="1:11" ht="15.75">
      <c r="A10" s="40"/>
      <c r="B10" s="41"/>
      <c r="C10" s="42" t="s">
        <v>5</v>
      </c>
      <c r="D10" s="71">
        <v>2011</v>
      </c>
      <c r="E10" s="71">
        <v>2012</v>
      </c>
      <c r="F10" s="71">
        <v>2013</v>
      </c>
      <c r="G10" s="11">
        <v>2013</v>
      </c>
      <c r="H10" s="56">
        <v>2014</v>
      </c>
      <c r="I10" s="56">
        <v>2015</v>
      </c>
      <c r="J10" s="56">
        <v>2016</v>
      </c>
      <c r="K10" s="15"/>
    </row>
    <row r="11" spans="1:11" ht="19.5" customHeight="1">
      <c r="A11" s="65" t="s">
        <v>61</v>
      </c>
      <c r="B11" s="66" t="s">
        <v>62</v>
      </c>
      <c r="C11" s="59" t="s">
        <v>63</v>
      </c>
      <c r="D11" s="67">
        <f aca="true" t="shared" si="0" ref="D11:J11">D12+D19+D21+D24+D28+D32+D36+D43+D49</f>
        <v>14116169.379999999</v>
      </c>
      <c r="E11" s="67">
        <f t="shared" si="0"/>
        <v>15283821.669999998</v>
      </c>
      <c r="F11" s="67">
        <f t="shared" si="0"/>
        <v>15577052</v>
      </c>
      <c r="G11" s="67">
        <f t="shared" si="0"/>
        <v>14783568.189999998</v>
      </c>
      <c r="H11" s="60">
        <f t="shared" si="0"/>
        <v>14611561</v>
      </c>
      <c r="I11" s="60">
        <f t="shared" si="0"/>
        <v>14562452</v>
      </c>
      <c r="J11" s="60">
        <f t="shared" si="0"/>
        <v>14650475</v>
      </c>
      <c r="K11" s="15"/>
    </row>
    <row r="12" spans="1:16" ht="19.5" customHeight="1">
      <c r="A12" s="43" t="s">
        <v>64</v>
      </c>
      <c r="B12" s="43" t="s">
        <v>65</v>
      </c>
      <c r="C12" s="43" t="s">
        <v>66</v>
      </c>
      <c r="D12" s="54">
        <f aca="true" t="shared" si="1" ref="D12:J12">D13+D14+D15+D16+D17+D18</f>
        <v>2603028.91</v>
      </c>
      <c r="E12" s="54">
        <f t="shared" si="1"/>
        <v>2551884.48</v>
      </c>
      <c r="F12" s="54">
        <f t="shared" si="1"/>
        <v>2826906</v>
      </c>
      <c r="G12" s="54">
        <f t="shared" si="1"/>
        <v>2688255.38</v>
      </c>
      <c r="H12" s="22">
        <f t="shared" si="1"/>
        <v>2979082</v>
      </c>
      <c r="I12" s="22">
        <f t="shared" si="1"/>
        <v>2777082</v>
      </c>
      <c r="J12" s="22">
        <f t="shared" si="1"/>
        <v>2771082</v>
      </c>
      <c r="K12" s="15"/>
      <c r="L12" s="3"/>
      <c r="M12" s="3"/>
      <c r="N12" s="3"/>
      <c r="O12" s="3"/>
      <c r="P12" s="3"/>
    </row>
    <row r="13" spans="1:16" ht="19.5" customHeight="1">
      <c r="A13" s="44" t="s">
        <v>67</v>
      </c>
      <c r="B13" s="44" t="s">
        <v>67</v>
      </c>
      <c r="C13" s="14" t="s">
        <v>68</v>
      </c>
      <c r="D13" s="68">
        <v>2353067.29</v>
      </c>
      <c r="E13" s="68">
        <v>2247338.12</v>
      </c>
      <c r="F13" s="68">
        <v>2555919</v>
      </c>
      <c r="G13" s="68">
        <f>2312007+24000+3000-209.62-400-1833-5000-494-82-9960+11660+36-5000-23+25000</f>
        <v>2352701.38</v>
      </c>
      <c r="H13" s="53">
        <f>54524+12175+49000+259990+28500+2102313</f>
        <v>2506502</v>
      </c>
      <c r="I13" s="53">
        <f>54524+12175+49000+259990+18000+2102313+3500</f>
        <v>2499502</v>
      </c>
      <c r="J13" s="53">
        <f>54524+12175+49000+259990+12000+2102313+3500</f>
        <v>2493502</v>
      </c>
      <c r="K13" s="15"/>
      <c r="L13" s="3"/>
      <c r="M13" s="3"/>
      <c r="N13" s="3"/>
      <c r="O13" s="3"/>
      <c r="P13" s="3"/>
    </row>
    <row r="14" spans="1:16" ht="19.5" customHeight="1">
      <c r="A14" s="44" t="s">
        <v>69</v>
      </c>
      <c r="B14" s="44" t="s">
        <v>69</v>
      </c>
      <c r="C14" s="24" t="s">
        <v>70</v>
      </c>
      <c r="D14" s="76">
        <v>42624.46</v>
      </c>
      <c r="E14" s="76">
        <v>57669.72</v>
      </c>
      <c r="F14" s="76">
        <v>61990</v>
      </c>
      <c r="G14" s="68">
        <f>62890-200</f>
        <v>62690</v>
      </c>
      <c r="H14" s="53">
        <v>58550</v>
      </c>
      <c r="I14" s="53">
        <v>58550</v>
      </c>
      <c r="J14" s="53">
        <v>58550</v>
      </c>
      <c r="K14" s="15"/>
      <c r="L14" s="3"/>
      <c r="M14" s="3"/>
      <c r="N14" s="3"/>
      <c r="O14" s="3"/>
      <c r="P14" s="3"/>
    </row>
    <row r="15" spans="1:16" ht="19.5" customHeight="1">
      <c r="A15" s="44" t="s">
        <v>71</v>
      </c>
      <c r="B15" s="44" t="s">
        <v>72</v>
      </c>
      <c r="C15" s="24" t="s">
        <v>73</v>
      </c>
      <c r="D15" s="76">
        <v>97641.1</v>
      </c>
      <c r="E15" s="76">
        <v>104956.51</v>
      </c>
      <c r="F15" s="76">
        <v>103713</v>
      </c>
      <c r="G15" s="68">
        <v>105418</v>
      </c>
      <c r="H15" s="53">
        <v>105050</v>
      </c>
      <c r="I15" s="53">
        <v>105050</v>
      </c>
      <c r="J15" s="53">
        <v>105050</v>
      </c>
      <c r="K15" s="15"/>
      <c r="L15" s="3"/>
      <c r="M15" s="3"/>
      <c r="N15" s="3"/>
      <c r="O15" s="3"/>
      <c r="P15" s="3"/>
    </row>
    <row r="16" spans="1:16" ht="19.5" customHeight="1">
      <c r="A16" s="44" t="s">
        <v>74</v>
      </c>
      <c r="B16" s="44" t="s">
        <v>75</v>
      </c>
      <c r="C16" s="24" t="s">
        <v>191</v>
      </c>
      <c r="D16" s="76">
        <v>37691.71</v>
      </c>
      <c r="E16" s="76">
        <v>38694.64</v>
      </c>
      <c r="F16" s="76">
        <v>39000</v>
      </c>
      <c r="G16" s="68">
        <v>39000</v>
      </c>
      <c r="H16" s="53">
        <v>195000</v>
      </c>
      <c r="I16" s="53">
        <v>0</v>
      </c>
      <c r="J16" s="53">
        <v>0</v>
      </c>
      <c r="K16" s="15"/>
      <c r="L16" s="3"/>
      <c r="M16" s="3"/>
      <c r="N16" s="3"/>
      <c r="O16" s="3"/>
      <c r="P16" s="3"/>
    </row>
    <row r="17" spans="1:16" ht="19.5" customHeight="1">
      <c r="A17" s="44" t="s">
        <v>76</v>
      </c>
      <c r="B17" s="44" t="s">
        <v>75</v>
      </c>
      <c r="C17" s="24" t="s">
        <v>77</v>
      </c>
      <c r="D17" s="76">
        <v>28749.86</v>
      </c>
      <c r="E17" s="76">
        <v>28053.67</v>
      </c>
      <c r="F17" s="76">
        <v>29784</v>
      </c>
      <c r="G17" s="68">
        <v>25035</v>
      </c>
      <c r="H17" s="53">
        <v>28980</v>
      </c>
      <c r="I17" s="53">
        <v>28980</v>
      </c>
      <c r="J17" s="53">
        <v>28980</v>
      </c>
      <c r="K17" s="51"/>
      <c r="L17" s="15"/>
      <c r="M17" s="3"/>
      <c r="N17" s="3"/>
      <c r="O17" s="3"/>
      <c r="P17" s="3"/>
    </row>
    <row r="18" spans="1:16" ht="19.5" customHeight="1">
      <c r="A18" s="44" t="s">
        <v>78</v>
      </c>
      <c r="B18" s="44" t="s">
        <v>79</v>
      </c>
      <c r="C18" s="24" t="s">
        <v>80</v>
      </c>
      <c r="D18" s="76">
        <v>43254.49</v>
      </c>
      <c r="E18" s="76">
        <v>75171.82</v>
      </c>
      <c r="F18" s="76">
        <v>36500</v>
      </c>
      <c r="G18" s="68">
        <f>36500+50800+9000+3500+3611</f>
        <v>103411</v>
      </c>
      <c r="H18" s="53">
        <v>85000</v>
      </c>
      <c r="I18" s="53">
        <v>85000</v>
      </c>
      <c r="J18" s="53">
        <v>85000</v>
      </c>
      <c r="K18" s="15"/>
      <c r="L18" s="3"/>
      <c r="M18" s="3"/>
      <c r="N18" s="3"/>
      <c r="O18" s="3"/>
      <c r="P18" s="3"/>
    </row>
    <row r="19" spans="1:16" ht="19.5" customHeight="1">
      <c r="A19" s="43" t="s">
        <v>81</v>
      </c>
      <c r="B19" s="43" t="s">
        <v>82</v>
      </c>
      <c r="C19" s="17" t="s">
        <v>83</v>
      </c>
      <c r="D19" s="54">
        <f aca="true" t="shared" si="2" ref="D19:J19">SUM(D20)</f>
        <v>2582.96</v>
      </c>
      <c r="E19" s="54">
        <f t="shared" si="2"/>
        <v>3943.2</v>
      </c>
      <c r="F19" s="54">
        <f t="shared" si="2"/>
        <v>3829</v>
      </c>
      <c r="G19" s="54">
        <f t="shared" si="2"/>
        <v>3829</v>
      </c>
      <c r="H19" s="22">
        <f t="shared" si="2"/>
        <v>3500</v>
      </c>
      <c r="I19" s="22">
        <f t="shared" si="2"/>
        <v>3500</v>
      </c>
      <c r="J19" s="22">
        <f t="shared" si="2"/>
        <v>3500</v>
      </c>
      <c r="K19" s="15"/>
      <c r="L19" s="3"/>
      <c r="M19" s="3"/>
      <c r="N19" s="3"/>
      <c r="O19" s="3"/>
      <c r="P19" s="3"/>
    </row>
    <row r="20" spans="1:16" ht="19.5" customHeight="1">
      <c r="A20" s="44" t="s">
        <v>84</v>
      </c>
      <c r="B20" s="44" t="s">
        <v>85</v>
      </c>
      <c r="C20" s="24" t="s">
        <v>86</v>
      </c>
      <c r="D20" s="76">
        <v>2582.96</v>
      </c>
      <c r="E20" s="76">
        <v>3943.2</v>
      </c>
      <c r="F20" s="76">
        <v>3829</v>
      </c>
      <c r="G20" s="68">
        <v>3829</v>
      </c>
      <c r="H20" s="53">
        <v>3500</v>
      </c>
      <c r="I20" s="53">
        <v>3500</v>
      </c>
      <c r="J20" s="53">
        <v>3500</v>
      </c>
      <c r="K20" s="15"/>
      <c r="L20" s="3"/>
      <c r="M20" s="3"/>
      <c r="N20" s="3"/>
      <c r="O20" s="3"/>
      <c r="P20" s="3"/>
    </row>
    <row r="21" spans="1:16" ht="19.5" customHeight="1">
      <c r="A21" s="43" t="s">
        <v>87</v>
      </c>
      <c r="B21" s="43" t="s">
        <v>88</v>
      </c>
      <c r="C21" s="17" t="s">
        <v>89</v>
      </c>
      <c r="D21" s="54">
        <f aca="true" t="shared" si="3" ref="D21:J21">SUM(D22:D23)</f>
        <v>99385.62</v>
      </c>
      <c r="E21" s="54">
        <f t="shared" si="3"/>
        <v>107888.43</v>
      </c>
      <c r="F21" s="54">
        <f t="shared" si="3"/>
        <v>108782</v>
      </c>
      <c r="G21" s="54">
        <f t="shared" si="3"/>
        <v>106564</v>
      </c>
      <c r="H21" s="22">
        <f t="shared" si="3"/>
        <v>106330</v>
      </c>
      <c r="I21" s="22">
        <f t="shared" si="3"/>
        <v>106330</v>
      </c>
      <c r="J21" s="22">
        <f t="shared" si="3"/>
        <v>106330</v>
      </c>
      <c r="K21" s="15"/>
      <c r="L21" s="3"/>
      <c r="M21" s="3"/>
      <c r="N21" s="3"/>
      <c r="O21" s="3"/>
      <c r="P21" s="3"/>
    </row>
    <row r="22" spans="1:16" ht="19.5" customHeight="1">
      <c r="A22" s="44" t="s">
        <v>90</v>
      </c>
      <c r="B22" s="44" t="s">
        <v>85</v>
      </c>
      <c r="C22" s="24" t="s">
        <v>91</v>
      </c>
      <c r="D22" s="76">
        <v>522.43</v>
      </c>
      <c r="E22" s="76">
        <v>292.34</v>
      </c>
      <c r="F22" s="76">
        <v>462</v>
      </c>
      <c r="G22" s="68">
        <v>462</v>
      </c>
      <c r="H22" s="53">
        <v>410</v>
      </c>
      <c r="I22" s="53">
        <v>410</v>
      </c>
      <c r="J22" s="53">
        <v>410</v>
      </c>
      <c r="K22" s="15"/>
      <c r="L22" s="3"/>
      <c r="M22" s="3"/>
      <c r="N22" s="3"/>
      <c r="O22" s="3"/>
      <c r="P22" s="3"/>
    </row>
    <row r="23" spans="1:16" ht="19.5" customHeight="1">
      <c r="A23" s="44" t="s">
        <v>92</v>
      </c>
      <c r="B23" s="44" t="s">
        <v>75</v>
      </c>
      <c r="C23" s="24" t="s">
        <v>93</v>
      </c>
      <c r="D23" s="76">
        <v>98863.19</v>
      </c>
      <c r="E23" s="76">
        <v>107596.09</v>
      </c>
      <c r="F23" s="76">
        <v>108320</v>
      </c>
      <c r="G23" s="68">
        <f>106020+82</f>
        <v>106102</v>
      </c>
      <c r="H23" s="53">
        <v>105920</v>
      </c>
      <c r="I23" s="53">
        <v>105920</v>
      </c>
      <c r="J23" s="53">
        <v>105920</v>
      </c>
      <c r="K23" s="15"/>
      <c r="L23" s="3"/>
      <c r="M23" s="3"/>
      <c r="N23" s="3"/>
      <c r="O23" s="3"/>
      <c r="P23" s="3"/>
    </row>
    <row r="24" spans="1:16" ht="19.5" customHeight="1">
      <c r="A24" s="43" t="s">
        <v>94</v>
      </c>
      <c r="B24" s="43" t="s">
        <v>95</v>
      </c>
      <c r="C24" s="17" t="s">
        <v>96</v>
      </c>
      <c r="D24" s="54">
        <f aca="true" t="shared" si="4" ref="D24:J24">SUM(D25:D27)</f>
        <v>534640.38</v>
      </c>
      <c r="E24" s="54">
        <f t="shared" si="4"/>
        <v>403700.69</v>
      </c>
      <c r="F24" s="54">
        <f t="shared" si="4"/>
        <v>608357</v>
      </c>
      <c r="G24" s="54">
        <f t="shared" si="4"/>
        <v>525375</v>
      </c>
      <c r="H24" s="22">
        <f t="shared" si="4"/>
        <v>609807</v>
      </c>
      <c r="I24" s="22">
        <f t="shared" si="4"/>
        <v>654207</v>
      </c>
      <c r="J24" s="22">
        <f t="shared" si="4"/>
        <v>671207</v>
      </c>
      <c r="K24" s="15"/>
      <c r="L24" s="3"/>
      <c r="M24" s="3"/>
      <c r="N24" s="3"/>
      <c r="O24" s="3"/>
      <c r="P24" s="3"/>
    </row>
    <row r="25" spans="1:16" ht="19.5" customHeight="1">
      <c r="A25" s="44" t="s">
        <v>97</v>
      </c>
      <c r="B25" s="44" t="s">
        <v>98</v>
      </c>
      <c r="C25" s="24" t="s">
        <v>99</v>
      </c>
      <c r="D25" s="76">
        <v>25200</v>
      </c>
      <c r="E25" s="76">
        <v>0</v>
      </c>
      <c r="F25" s="76">
        <v>19000</v>
      </c>
      <c r="G25" s="68">
        <f>19000+9000-9000</f>
        <v>19000</v>
      </c>
      <c r="H25" s="53">
        <f>10000+600+500+5400</f>
        <v>16500</v>
      </c>
      <c r="I25" s="53">
        <f>30000+10000+8000+7000+500+5400</f>
        <v>60900</v>
      </c>
      <c r="J25" s="53">
        <f>60000+10000+8000+17000+7000+500+5400</f>
        <v>107900</v>
      </c>
      <c r="K25" s="15"/>
      <c r="L25" s="3"/>
      <c r="M25" s="3"/>
      <c r="N25" s="3"/>
      <c r="O25" s="3"/>
      <c r="P25" s="3"/>
    </row>
    <row r="26" spans="1:16" ht="19.5" customHeight="1">
      <c r="A26" s="44" t="s">
        <v>100</v>
      </c>
      <c r="B26" s="44" t="s">
        <v>98</v>
      </c>
      <c r="C26" s="24" t="s">
        <v>101</v>
      </c>
      <c r="D26" s="76">
        <v>245333.48</v>
      </c>
      <c r="E26" s="76">
        <v>226384.99</v>
      </c>
      <c r="F26" s="76">
        <v>297650</v>
      </c>
      <c r="G26" s="68">
        <f>220022-254</f>
        <v>219768</v>
      </c>
      <c r="H26" s="53">
        <v>181600</v>
      </c>
      <c r="I26" s="53">
        <v>181600</v>
      </c>
      <c r="J26" s="53">
        <v>181600</v>
      </c>
      <c r="K26" s="15"/>
      <c r="L26" s="3"/>
      <c r="M26" s="3"/>
      <c r="N26" s="3"/>
      <c r="O26" s="3"/>
      <c r="P26" s="3"/>
    </row>
    <row r="27" spans="1:16" ht="19.5" customHeight="1">
      <c r="A27" s="44" t="s">
        <v>98</v>
      </c>
      <c r="B27" s="44" t="s">
        <v>102</v>
      </c>
      <c r="C27" s="24" t="s">
        <v>103</v>
      </c>
      <c r="D27" s="76">
        <v>264106.9</v>
      </c>
      <c r="E27" s="76">
        <v>177315.7</v>
      </c>
      <c r="F27" s="76">
        <v>291707</v>
      </c>
      <c r="G27" s="68">
        <f>291707-5100</f>
        <v>286607</v>
      </c>
      <c r="H27" s="53">
        <v>411707</v>
      </c>
      <c r="I27" s="53">
        <v>411707</v>
      </c>
      <c r="J27" s="53">
        <v>381707</v>
      </c>
      <c r="K27" s="15"/>
      <c r="L27" s="3"/>
      <c r="M27" s="3"/>
      <c r="N27" s="3"/>
      <c r="O27" s="3"/>
      <c r="P27" s="3"/>
    </row>
    <row r="28" spans="1:16" ht="19.5" customHeight="1">
      <c r="A28" s="43" t="s">
        <v>104</v>
      </c>
      <c r="B28" s="43" t="s">
        <v>105</v>
      </c>
      <c r="C28" s="17" t="s">
        <v>106</v>
      </c>
      <c r="D28" s="54">
        <f aca="true" t="shared" si="5" ref="D28:J28">SUM(D29:D31)</f>
        <v>94877.88</v>
      </c>
      <c r="E28" s="54">
        <f t="shared" si="5"/>
        <v>68990.31</v>
      </c>
      <c r="F28" s="54">
        <f t="shared" si="5"/>
        <v>142600</v>
      </c>
      <c r="G28" s="54">
        <f t="shared" si="5"/>
        <v>91000</v>
      </c>
      <c r="H28" s="22">
        <f t="shared" si="5"/>
        <v>137270</v>
      </c>
      <c r="I28" s="22">
        <f t="shared" si="5"/>
        <v>119270</v>
      </c>
      <c r="J28" s="22">
        <f t="shared" si="5"/>
        <v>127270</v>
      </c>
      <c r="K28" s="15"/>
      <c r="L28" s="3"/>
      <c r="M28" s="3"/>
      <c r="N28" s="3"/>
      <c r="O28" s="3"/>
      <c r="P28" s="3"/>
    </row>
    <row r="29" spans="1:16" ht="19.5" customHeight="1">
      <c r="A29" s="44" t="s">
        <v>102</v>
      </c>
      <c r="B29" s="44" t="s">
        <v>107</v>
      </c>
      <c r="C29" s="24" t="s">
        <v>108</v>
      </c>
      <c r="D29" s="76">
        <v>70839.5</v>
      </c>
      <c r="E29" s="76">
        <v>39095.96</v>
      </c>
      <c r="F29" s="76">
        <v>59600</v>
      </c>
      <c r="G29" s="68">
        <f>59600-5700+1000</f>
        <v>54900</v>
      </c>
      <c r="H29" s="53">
        <f>36270+3000+20000+3000</f>
        <v>62270</v>
      </c>
      <c r="I29" s="53">
        <f>36270+10000+3000</f>
        <v>49270</v>
      </c>
      <c r="J29" s="53">
        <f>3000+18000+36270</f>
        <v>57270</v>
      </c>
      <c r="K29" s="15"/>
      <c r="L29" s="3"/>
      <c r="M29" s="3"/>
      <c r="N29" s="3"/>
      <c r="O29" s="3"/>
      <c r="P29" s="3"/>
    </row>
    <row r="30" spans="1:16" ht="19.5" customHeight="1">
      <c r="A30" s="44" t="s">
        <v>109</v>
      </c>
      <c r="B30" s="44" t="s">
        <v>110</v>
      </c>
      <c r="C30" s="24" t="s">
        <v>111</v>
      </c>
      <c r="D30" s="76">
        <v>12663.99</v>
      </c>
      <c r="E30" s="76">
        <v>11097.48</v>
      </c>
      <c r="F30" s="76">
        <v>17500</v>
      </c>
      <c r="G30" s="68">
        <f>17500-3000</f>
        <v>14500</v>
      </c>
      <c r="H30" s="53">
        <v>22500</v>
      </c>
      <c r="I30" s="53">
        <v>17500</v>
      </c>
      <c r="J30" s="53">
        <v>17500</v>
      </c>
      <c r="K30" s="15"/>
      <c r="L30" s="3"/>
      <c r="M30" s="3"/>
      <c r="N30" s="3"/>
      <c r="O30" s="3"/>
      <c r="P30" s="3"/>
    </row>
    <row r="31" spans="1:16" ht="19.5" customHeight="1">
      <c r="A31" s="44" t="s">
        <v>112</v>
      </c>
      <c r="B31" s="44" t="s">
        <v>75</v>
      </c>
      <c r="C31" s="24" t="s">
        <v>113</v>
      </c>
      <c r="D31" s="76">
        <v>11374.39</v>
      </c>
      <c r="E31" s="76">
        <v>18796.87</v>
      </c>
      <c r="F31" s="76">
        <v>65500</v>
      </c>
      <c r="G31" s="68">
        <f>65500-30000-3000-1000-9900</f>
        <v>21600</v>
      </c>
      <c r="H31" s="53">
        <v>52500</v>
      </c>
      <c r="I31" s="53">
        <v>52500</v>
      </c>
      <c r="J31" s="53">
        <v>52500</v>
      </c>
      <c r="K31" s="15"/>
      <c r="L31" s="3"/>
      <c r="M31" s="3"/>
      <c r="N31" s="3"/>
      <c r="O31" s="3"/>
      <c r="P31" s="3"/>
    </row>
    <row r="32" spans="1:16" ht="19.5" customHeight="1">
      <c r="A32" s="43" t="s">
        <v>114</v>
      </c>
      <c r="B32" s="43" t="s">
        <v>115</v>
      </c>
      <c r="C32" s="17" t="s">
        <v>116</v>
      </c>
      <c r="D32" s="54">
        <f aca="true" t="shared" si="6" ref="D32:J32">SUM(D33:D35)</f>
        <v>3148287.9</v>
      </c>
      <c r="E32" s="54">
        <f t="shared" si="6"/>
        <v>3609593.7699999996</v>
      </c>
      <c r="F32" s="54">
        <f t="shared" si="6"/>
        <v>3967211</v>
      </c>
      <c r="G32" s="54">
        <f t="shared" si="6"/>
        <v>3084052</v>
      </c>
      <c r="H32" s="22">
        <f t="shared" si="6"/>
        <v>2447160</v>
      </c>
      <c r="I32" s="22">
        <f t="shared" si="6"/>
        <v>2407160</v>
      </c>
      <c r="J32" s="22">
        <f t="shared" si="6"/>
        <v>2277160</v>
      </c>
      <c r="K32" s="15"/>
      <c r="L32" s="3"/>
      <c r="M32" s="3"/>
      <c r="N32" s="3"/>
      <c r="O32" s="3"/>
      <c r="P32" s="3"/>
    </row>
    <row r="33" spans="1:16" ht="19.5" customHeight="1">
      <c r="A33" s="44" t="s">
        <v>117</v>
      </c>
      <c r="B33" s="44" t="s">
        <v>107</v>
      </c>
      <c r="C33" s="24" t="s">
        <v>185</v>
      </c>
      <c r="D33" s="76">
        <v>15127.78</v>
      </c>
      <c r="E33" s="76">
        <v>14200.07</v>
      </c>
      <c r="F33" s="76">
        <v>14420</v>
      </c>
      <c r="G33" s="68">
        <v>15493</v>
      </c>
      <c r="H33" s="53">
        <v>16399</v>
      </c>
      <c r="I33" s="53">
        <v>16399</v>
      </c>
      <c r="J33" s="53">
        <v>16399</v>
      </c>
      <c r="K33" s="15"/>
      <c r="L33" s="3"/>
      <c r="M33" s="3"/>
      <c r="N33" s="3"/>
      <c r="O33" s="3"/>
      <c r="P33" s="3"/>
    </row>
    <row r="34" spans="1:16" ht="19.5" customHeight="1">
      <c r="A34" s="44" t="s">
        <v>118</v>
      </c>
      <c r="B34" s="44" t="s">
        <v>85</v>
      </c>
      <c r="C34" s="19" t="s">
        <v>119</v>
      </c>
      <c r="D34" s="68">
        <v>2854973.43</v>
      </c>
      <c r="E34" s="68">
        <v>3044545.34</v>
      </c>
      <c r="F34" s="68">
        <v>3029080</v>
      </c>
      <c r="G34" s="68">
        <f>3029080+421-72100+8000+400+1833+494-748000</f>
        <v>2220128</v>
      </c>
      <c r="H34" s="53">
        <v>1520000</v>
      </c>
      <c r="I34" s="53">
        <v>1480000</v>
      </c>
      <c r="J34" s="53">
        <v>1350000</v>
      </c>
      <c r="K34" s="15"/>
      <c r="L34" s="3"/>
      <c r="M34" s="3"/>
      <c r="N34" s="3"/>
      <c r="O34" s="3"/>
      <c r="P34" s="3"/>
    </row>
    <row r="35" spans="1:16" ht="19.5" customHeight="1">
      <c r="A35" s="44" t="s">
        <v>120</v>
      </c>
      <c r="B35" s="44" t="s">
        <v>75</v>
      </c>
      <c r="C35" s="24" t="s">
        <v>121</v>
      </c>
      <c r="D35" s="76">
        <v>278186.69</v>
      </c>
      <c r="E35" s="76">
        <v>550848.36</v>
      </c>
      <c r="F35" s="76">
        <v>923711</v>
      </c>
      <c r="G35" s="68">
        <f>849931-1500</f>
        <v>848431</v>
      </c>
      <c r="H35" s="53">
        <v>910761</v>
      </c>
      <c r="I35" s="53">
        <v>910761</v>
      </c>
      <c r="J35" s="53">
        <v>910761</v>
      </c>
      <c r="K35" s="15"/>
      <c r="L35" s="3"/>
      <c r="M35" s="3"/>
      <c r="N35" s="3"/>
      <c r="O35" s="3"/>
      <c r="P35" s="3"/>
    </row>
    <row r="36" spans="1:16" ht="19.5" customHeight="1">
      <c r="A36" s="43" t="s">
        <v>122</v>
      </c>
      <c r="B36" s="43" t="s">
        <v>123</v>
      </c>
      <c r="C36" s="17" t="s">
        <v>124</v>
      </c>
      <c r="D36" s="54">
        <f aca="true" t="shared" si="7" ref="D36:J36">SUM(D37:D42)</f>
        <v>1088856.6</v>
      </c>
      <c r="E36" s="54">
        <f t="shared" si="7"/>
        <v>1096444.73</v>
      </c>
      <c r="F36" s="54">
        <f t="shared" si="7"/>
        <v>1106621</v>
      </c>
      <c r="G36" s="54">
        <f t="shared" si="7"/>
        <v>1104700</v>
      </c>
      <c r="H36" s="22">
        <f t="shared" si="7"/>
        <v>1107753</v>
      </c>
      <c r="I36" s="22">
        <f t="shared" si="7"/>
        <v>1107753</v>
      </c>
      <c r="J36" s="22">
        <f t="shared" si="7"/>
        <v>1107753</v>
      </c>
      <c r="K36" s="15"/>
      <c r="L36" s="3"/>
      <c r="M36" s="3"/>
      <c r="N36" s="3"/>
      <c r="O36" s="3"/>
      <c r="P36" s="3"/>
    </row>
    <row r="37" spans="1:16" ht="19.5" customHeight="1">
      <c r="A37" s="44" t="s">
        <v>125</v>
      </c>
      <c r="B37" s="44" t="s">
        <v>107</v>
      </c>
      <c r="C37" s="24" t="s">
        <v>126</v>
      </c>
      <c r="D37" s="76">
        <v>10328.49</v>
      </c>
      <c r="E37" s="76">
        <v>10148.39</v>
      </c>
      <c r="F37" s="76">
        <v>18577</v>
      </c>
      <c r="G37" s="68">
        <f>13156+110+2539</f>
        <v>15805</v>
      </c>
      <c r="H37" s="53">
        <v>16100</v>
      </c>
      <c r="I37" s="53">
        <v>16100</v>
      </c>
      <c r="J37" s="53">
        <v>16100</v>
      </c>
      <c r="K37" s="15"/>
      <c r="L37" s="3"/>
      <c r="M37" s="3"/>
      <c r="N37" s="3"/>
      <c r="O37" s="3"/>
      <c r="P37" s="3"/>
    </row>
    <row r="38" spans="1:16" ht="19.5" customHeight="1">
      <c r="A38" s="44" t="s">
        <v>127</v>
      </c>
      <c r="B38" s="44" t="s">
        <v>107</v>
      </c>
      <c r="C38" s="24" t="s">
        <v>29</v>
      </c>
      <c r="D38" s="76">
        <v>24834.98</v>
      </c>
      <c r="E38" s="76">
        <v>18766.26</v>
      </c>
      <c r="F38" s="76">
        <v>18790</v>
      </c>
      <c r="G38" s="68">
        <v>18790</v>
      </c>
      <c r="H38" s="53">
        <v>18800</v>
      </c>
      <c r="I38" s="53">
        <v>18800</v>
      </c>
      <c r="J38" s="53">
        <v>18800</v>
      </c>
      <c r="K38" s="15"/>
      <c r="L38" s="3"/>
      <c r="M38" s="3"/>
      <c r="N38" s="3"/>
      <c r="O38" s="3"/>
      <c r="P38" s="3"/>
    </row>
    <row r="39" spans="1:16" ht="19.5" customHeight="1">
      <c r="A39" s="44" t="s">
        <v>128</v>
      </c>
      <c r="B39" s="44" t="s">
        <v>85</v>
      </c>
      <c r="C39" s="24" t="s">
        <v>31</v>
      </c>
      <c r="D39" s="76">
        <v>483446.62</v>
      </c>
      <c r="E39" s="76">
        <v>511478.41</v>
      </c>
      <c r="F39" s="76">
        <v>517800</v>
      </c>
      <c r="G39" s="68">
        <f>517800-17000+9000</f>
        <v>509800</v>
      </c>
      <c r="H39" s="53">
        <v>500800</v>
      </c>
      <c r="I39" s="53">
        <f>517800-17000</f>
        <v>500800</v>
      </c>
      <c r="J39" s="53">
        <f>517800-17000</f>
        <v>500800</v>
      </c>
      <c r="K39" s="15"/>
      <c r="L39" s="3"/>
      <c r="M39" s="3"/>
      <c r="N39" s="3"/>
      <c r="O39" s="3"/>
      <c r="P39" s="3"/>
    </row>
    <row r="40" spans="1:16" ht="19.5" customHeight="1">
      <c r="A40" s="44" t="s">
        <v>129</v>
      </c>
      <c r="B40" s="44" t="s">
        <v>130</v>
      </c>
      <c r="C40" s="24" t="s">
        <v>32</v>
      </c>
      <c r="D40" s="76">
        <v>249614.15</v>
      </c>
      <c r="E40" s="76">
        <v>247707.75</v>
      </c>
      <c r="F40" s="76">
        <v>252049</v>
      </c>
      <c r="G40" s="68">
        <f>252049-4000</f>
        <v>248049</v>
      </c>
      <c r="H40" s="53">
        <v>252049</v>
      </c>
      <c r="I40" s="53">
        <v>252049</v>
      </c>
      <c r="J40" s="53">
        <v>252049</v>
      </c>
      <c r="K40" s="15"/>
      <c r="L40" s="3"/>
      <c r="M40" s="3"/>
      <c r="N40" s="3"/>
      <c r="O40" s="3"/>
      <c r="P40" s="3"/>
    </row>
    <row r="41" spans="1:16" ht="19.5" customHeight="1">
      <c r="A41" s="44" t="s">
        <v>131</v>
      </c>
      <c r="B41" s="44" t="s">
        <v>132</v>
      </c>
      <c r="C41" s="24" t="s">
        <v>133</v>
      </c>
      <c r="D41" s="76">
        <v>79606.51</v>
      </c>
      <c r="E41" s="76">
        <v>139964.88</v>
      </c>
      <c r="F41" s="76">
        <v>100964</v>
      </c>
      <c r="G41" s="68">
        <f>100964-3500-1500+5500-110-2539+20000</f>
        <v>118815</v>
      </c>
      <c r="H41" s="53">
        <f>500+700+50+100+50+250+124000+500+5000+50</f>
        <v>131200</v>
      </c>
      <c r="I41" s="53">
        <f>500+700+50+100+50+250+124000+500+5000+50</f>
        <v>131200</v>
      </c>
      <c r="J41" s="53">
        <f>500+700+50+100+50+250+124000+500+5000+50</f>
        <v>131200</v>
      </c>
      <c r="K41" s="15"/>
      <c r="L41" s="3"/>
      <c r="M41" s="3"/>
      <c r="N41" s="3"/>
      <c r="O41" s="3"/>
      <c r="P41" s="3"/>
    </row>
    <row r="42" spans="1:16" ht="19.5" customHeight="1">
      <c r="A42" s="44" t="s">
        <v>134</v>
      </c>
      <c r="B42" s="44" t="s">
        <v>135</v>
      </c>
      <c r="C42" s="24" t="s">
        <v>136</v>
      </c>
      <c r="D42" s="76">
        <v>241025.85</v>
      </c>
      <c r="E42" s="76">
        <v>168379.04</v>
      </c>
      <c r="F42" s="76">
        <v>198441</v>
      </c>
      <c r="G42" s="68">
        <f>198441-5000</f>
        <v>193441</v>
      </c>
      <c r="H42" s="53">
        <v>188804</v>
      </c>
      <c r="I42" s="53">
        <v>188804</v>
      </c>
      <c r="J42" s="53">
        <v>188804</v>
      </c>
      <c r="K42" s="15"/>
      <c r="L42" s="3"/>
      <c r="M42" s="3"/>
      <c r="N42" s="3"/>
      <c r="O42" s="3"/>
      <c r="P42" s="3"/>
    </row>
    <row r="43" spans="1:16" ht="19.5" customHeight="1">
      <c r="A43" s="43" t="s">
        <v>137</v>
      </c>
      <c r="B43" s="43" t="s">
        <v>138</v>
      </c>
      <c r="C43" s="17" t="s">
        <v>139</v>
      </c>
      <c r="D43" s="54">
        <f aca="true" t="shared" si="8" ref="D43:J43">SUM(D44:D48)</f>
        <v>5994335.4399999995</v>
      </c>
      <c r="E43" s="54">
        <f t="shared" si="8"/>
        <v>6867573.86</v>
      </c>
      <c r="F43" s="54">
        <f t="shared" si="8"/>
        <v>6174923</v>
      </c>
      <c r="G43" s="54">
        <f t="shared" si="8"/>
        <v>6556927.949999999</v>
      </c>
      <c r="H43" s="22">
        <f t="shared" si="8"/>
        <v>6542159</v>
      </c>
      <c r="I43" s="22">
        <f t="shared" si="8"/>
        <v>6720950</v>
      </c>
      <c r="J43" s="22">
        <f t="shared" si="8"/>
        <v>6923973</v>
      </c>
      <c r="K43" s="15"/>
      <c r="L43" s="3"/>
      <c r="M43" s="3"/>
      <c r="N43" s="3"/>
      <c r="O43" s="3"/>
      <c r="P43" s="3"/>
    </row>
    <row r="44" spans="1:16" ht="19.5" customHeight="1">
      <c r="A44" s="44" t="s">
        <v>140</v>
      </c>
      <c r="B44" s="44" t="s">
        <v>67</v>
      </c>
      <c r="C44" s="24" t="s">
        <v>141</v>
      </c>
      <c r="D44" s="76">
        <v>143736.56</v>
      </c>
      <c r="E44" s="76">
        <v>144352.26</v>
      </c>
      <c r="F44" s="76">
        <v>156830</v>
      </c>
      <c r="G44" s="68">
        <v>156830</v>
      </c>
      <c r="H44" s="52">
        <f>157450+50</f>
        <v>157500</v>
      </c>
      <c r="I44" s="52">
        <f>157450+50</f>
        <v>157500</v>
      </c>
      <c r="J44" s="53">
        <f>157450+50</f>
        <v>157500</v>
      </c>
      <c r="K44" s="15"/>
      <c r="L44" s="3"/>
      <c r="M44" s="3"/>
      <c r="N44" s="3"/>
      <c r="O44" s="3"/>
      <c r="P44" s="3"/>
    </row>
    <row r="45" spans="1:16" ht="19.5" customHeight="1">
      <c r="A45" s="44" t="s">
        <v>142</v>
      </c>
      <c r="B45" s="44" t="s">
        <v>69</v>
      </c>
      <c r="C45" s="24" t="s">
        <v>143</v>
      </c>
      <c r="D45" s="76">
        <v>5630232.68</v>
      </c>
      <c r="E45" s="76">
        <v>6549944.42</v>
      </c>
      <c r="F45" s="76">
        <v>5867689</v>
      </c>
      <c r="G45" s="68">
        <f>6118737-176+220.3+298.8+5591.8+1095+378+0.15+452.95+7692.02+9500+1621+920.63+463+554+52+8150+208.95+931-49790</f>
        <v>6106900.6</v>
      </c>
      <c r="H45" s="52">
        <v>6146999</v>
      </c>
      <c r="I45" s="53">
        <v>6325290</v>
      </c>
      <c r="J45" s="53">
        <v>6528313</v>
      </c>
      <c r="K45" s="15"/>
      <c r="L45" s="3"/>
      <c r="M45" s="3"/>
      <c r="N45" s="3"/>
      <c r="O45" s="3"/>
      <c r="P45" s="3"/>
    </row>
    <row r="46" spans="1:16" ht="19.5" customHeight="1">
      <c r="A46" s="44" t="s">
        <v>142</v>
      </c>
      <c r="B46" s="44" t="s">
        <v>69</v>
      </c>
      <c r="C46" s="24" t="s">
        <v>144</v>
      </c>
      <c r="D46" s="76">
        <f>61745.02+83939.88</f>
        <v>145684.9</v>
      </c>
      <c r="E46" s="76">
        <v>113390.44</v>
      </c>
      <c r="F46" s="76">
        <v>100000</v>
      </c>
      <c r="G46" s="68">
        <f>150013-7692.02-920.63+110000-8150</f>
        <v>243250.35</v>
      </c>
      <c r="H46" s="52">
        <v>190000</v>
      </c>
      <c r="I46" s="53">
        <v>190000</v>
      </c>
      <c r="J46" s="53">
        <v>190000</v>
      </c>
      <c r="K46" s="15"/>
      <c r="L46" s="3"/>
      <c r="M46" s="3"/>
      <c r="N46" s="3"/>
      <c r="O46" s="3"/>
      <c r="P46" s="3"/>
    </row>
    <row r="47" spans="1:16" ht="19.5" customHeight="1">
      <c r="A47" s="44" t="s">
        <v>145</v>
      </c>
      <c r="B47" s="44" t="s">
        <v>146</v>
      </c>
      <c r="C47" s="24" t="s">
        <v>147</v>
      </c>
      <c r="D47" s="76">
        <v>70865.35</v>
      </c>
      <c r="E47" s="76">
        <v>54954.74</v>
      </c>
      <c r="F47" s="76">
        <v>44404</v>
      </c>
      <c r="G47" s="68">
        <v>43947</v>
      </c>
      <c r="H47" s="52">
        <v>42660</v>
      </c>
      <c r="I47" s="53">
        <v>42660</v>
      </c>
      <c r="J47" s="53">
        <v>42660</v>
      </c>
      <c r="K47" s="15"/>
      <c r="L47" s="3"/>
      <c r="M47" s="3"/>
      <c r="N47" s="3"/>
      <c r="O47" s="3"/>
      <c r="P47" s="3"/>
    </row>
    <row r="48" spans="1:16" ht="19.5" customHeight="1">
      <c r="A48" s="44" t="s">
        <v>148</v>
      </c>
      <c r="B48" s="44" t="s">
        <v>149</v>
      </c>
      <c r="C48" s="24" t="s">
        <v>150</v>
      </c>
      <c r="D48" s="76">
        <v>3815.95</v>
      </c>
      <c r="E48" s="76">
        <v>4932</v>
      </c>
      <c r="F48" s="76">
        <v>6000</v>
      </c>
      <c r="G48" s="68">
        <v>6000</v>
      </c>
      <c r="H48" s="52">
        <v>5000</v>
      </c>
      <c r="I48" s="53">
        <v>5500</v>
      </c>
      <c r="J48" s="53">
        <v>5500</v>
      </c>
      <c r="K48" s="15"/>
      <c r="L48" s="15"/>
      <c r="M48" s="3"/>
      <c r="N48" s="3"/>
      <c r="O48" s="3"/>
      <c r="P48" s="3"/>
    </row>
    <row r="49" spans="1:16" ht="19.5" customHeight="1">
      <c r="A49" s="43" t="s">
        <v>151</v>
      </c>
      <c r="B49" s="43" t="s">
        <v>152</v>
      </c>
      <c r="C49" s="17" t="s">
        <v>153</v>
      </c>
      <c r="D49" s="54">
        <f aca="true" t="shared" si="9" ref="D49:J49">SUM(D50:D55)</f>
        <v>550173.6900000001</v>
      </c>
      <c r="E49" s="54">
        <f t="shared" si="9"/>
        <v>573802.2</v>
      </c>
      <c r="F49" s="54">
        <f t="shared" si="9"/>
        <v>637823</v>
      </c>
      <c r="G49" s="54">
        <f t="shared" si="9"/>
        <v>622864.86</v>
      </c>
      <c r="H49" s="22">
        <f t="shared" si="9"/>
        <v>678500</v>
      </c>
      <c r="I49" s="22">
        <f t="shared" si="9"/>
        <v>666200</v>
      </c>
      <c r="J49" s="22">
        <f t="shared" si="9"/>
        <v>662200</v>
      </c>
      <c r="K49" s="15"/>
      <c r="L49" s="15"/>
      <c r="M49" s="3"/>
      <c r="N49" s="3"/>
      <c r="O49" s="3"/>
      <c r="P49" s="3"/>
    </row>
    <row r="50" spans="1:16" ht="19.5" customHeight="1">
      <c r="A50" s="44" t="s">
        <v>154</v>
      </c>
      <c r="B50" s="14" t="s">
        <v>155</v>
      </c>
      <c r="C50" s="19" t="s">
        <v>156</v>
      </c>
      <c r="D50" s="68">
        <v>83246.76</v>
      </c>
      <c r="E50" s="68">
        <v>102897.26</v>
      </c>
      <c r="F50" s="68">
        <v>131538</v>
      </c>
      <c r="G50" s="68">
        <f>131538+2500-2100+700+48+1230</f>
        <v>133916</v>
      </c>
      <c r="H50" s="53">
        <v>150225</v>
      </c>
      <c r="I50" s="53">
        <f>150225-12300</f>
        <v>137925</v>
      </c>
      <c r="J50" s="53">
        <f>150225-12300</f>
        <v>137925</v>
      </c>
      <c r="K50" s="15"/>
      <c r="L50" s="15"/>
      <c r="M50" s="3"/>
      <c r="N50" s="3"/>
      <c r="O50" s="3"/>
      <c r="P50" s="3"/>
    </row>
    <row r="51" spans="1:16" ht="19.5" customHeight="1">
      <c r="A51" s="44" t="s">
        <v>157</v>
      </c>
      <c r="B51" s="14" t="s">
        <v>158</v>
      </c>
      <c r="C51" s="19" t="s">
        <v>159</v>
      </c>
      <c r="D51" s="68">
        <v>179360.49</v>
      </c>
      <c r="E51" s="68">
        <v>170400.45</v>
      </c>
      <c r="F51" s="68">
        <v>199320</v>
      </c>
      <c r="G51" s="68">
        <f>199320-7000-700-1230</f>
        <v>190390</v>
      </c>
      <c r="H51" s="53">
        <v>199320</v>
      </c>
      <c r="I51" s="53">
        <v>199320</v>
      </c>
      <c r="J51" s="53">
        <v>199320</v>
      </c>
      <c r="K51" s="15"/>
      <c r="L51" s="30"/>
      <c r="M51" s="3"/>
      <c r="N51" s="3"/>
      <c r="O51" s="3"/>
      <c r="P51" s="3"/>
    </row>
    <row r="52" spans="1:16" ht="19.5" customHeight="1">
      <c r="A52" s="44" t="s">
        <v>160</v>
      </c>
      <c r="B52" s="14" t="s">
        <v>158</v>
      </c>
      <c r="C52" s="19" t="s">
        <v>161</v>
      </c>
      <c r="D52" s="68">
        <v>186567.76</v>
      </c>
      <c r="E52" s="68">
        <v>193148.91</v>
      </c>
      <c r="F52" s="68">
        <v>189140</v>
      </c>
      <c r="G52" s="68">
        <f>189140+206</f>
        <v>189346</v>
      </c>
      <c r="H52" s="53">
        <v>203600</v>
      </c>
      <c r="I52" s="53">
        <v>203600</v>
      </c>
      <c r="J52" s="53">
        <v>203600</v>
      </c>
      <c r="K52" s="15"/>
      <c r="L52" s="30"/>
      <c r="M52" s="3"/>
      <c r="N52" s="3"/>
      <c r="O52" s="3"/>
      <c r="P52" s="3"/>
    </row>
    <row r="53" spans="1:16" ht="19.5" customHeight="1">
      <c r="A53" s="44" t="s">
        <v>162</v>
      </c>
      <c r="B53" s="14" t="s">
        <v>163</v>
      </c>
      <c r="C53" s="19" t="s">
        <v>164</v>
      </c>
      <c r="D53" s="68">
        <v>88389.16</v>
      </c>
      <c r="E53" s="68">
        <v>101740.58</v>
      </c>
      <c r="F53" s="68">
        <v>100460</v>
      </c>
      <c r="G53" s="68">
        <f>85163+692.86-9000-3611+22603</f>
        <v>95847.86</v>
      </c>
      <c r="H53" s="53">
        <v>107990</v>
      </c>
      <c r="I53" s="53">
        <v>107990</v>
      </c>
      <c r="J53" s="53">
        <v>107990</v>
      </c>
      <c r="K53" s="15"/>
      <c r="L53" s="3"/>
      <c r="M53" s="3"/>
      <c r="N53" s="3"/>
      <c r="O53" s="3"/>
      <c r="P53" s="3"/>
    </row>
    <row r="54" spans="1:16" ht="19.5" customHeight="1">
      <c r="A54" s="44" t="s">
        <v>165</v>
      </c>
      <c r="B54" s="14" t="s">
        <v>166</v>
      </c>
      <c r="C54" s="19" t="s">
        <v>167</v>
      </c>
      <c r="D54" s="68">
        <v>0</v>
      </c>
      <c r="E54" s="68">
        <v>0</v>
      </c>
      <c r="F54" s="68">
        <v>25</v>
      </c>
      <c r="G54" s="68">
        <v>25</v>
      </c>
      <c r="H54" s="53">
        <v>25</v>
      </c>
      <c r="I54" s="53">
        <v>25</v>
      </c>
      <c r="J54" s="53">
        <v>25</v>
      </c>
      <c r="K54" s="15"/>
      <c r="L54" s="3"/>
      <c r="M54" s="3"/>
      <c r="N54" s="3"/>
      <c r="O54" s="3"/>
      <c r="P54" s="3"/>
    </row>
    <row r="55" spans="1:16" ht="19.5" customHeight="1">
      <c r="A55" s="44" t="s">
        <v>168</v>
      </c>
      <c r="B55" s="14" t="s">
        <v>169</v>
      </c>
      <c r="C55" s="19" t="s">
        <v>170</v>
      </c>
      <c r="D55" s="68">
        <v>12609.52</v>
      </c>
      <c r="E55" s="68">
        <v>5615</v>
      </c>
      <c r="F55" s="68">
        <v>17340</v>
      </c>
      <c r="G55" s="68">
        <f>17340-4000</f>
        <v>13340</v>
      </c>
      <c r="H55" s="53">
        <v>17340</v>
      </c>
      <c r="I55" s="53">
        <v>17340</v>
      </c>
      <c r="J55" s="53">
        <f>17340-4000</f>
        <v>13340</v>
      </c>
      <c r="K55" s="15"/>
      <c r="L55" s="3"/>
      <c r="M55" s="3"/>
      <c r="N55" s="3"/>
      <c r="O55" s="3"/>
      <c r="P55" s="3"/>
    </row>
    <row r="56" spans="1:16" ht="19.5" customHeight="1">
      <c r="A56" s="64" t="s">
        <v>61</v>
      </c>
      <c r="B56" s="62" t="s">
        <v>62</v>
      </c>
      <c r="C56" s="59" t="s">
        <v>171</v>
      </c>
      <c r="D56" s="67">
        <f>D57+D61+D64+D66+D70+D73+D76</f>
        <v>147621.25</v>
      </c>
      <c r="E56" s="67">
        <f>E57+E61+E64+E66+E70+E73+E76</f>
        <v>886476.9</v>
      </c>
      <c r="F56" s="67">
        <v>5139178</v>
      </c>
      <c r="G56" s="67">
        <f>G57+G61+G64+G66+G70+G73+G76</f>
        <v>2880454</v>
      </c>
      <c r="H56" s="67">
        <f>H57+H61+H64+H66+H70+H73+H76</f>
        <v>7775609.789999999</v>
      </c>
      <c r="I56" s="67">
        <f>I57+I61+I64+I66+I70+I73+I76</f>
        <v>1312739.38</v>
      </c>
      <c r="J56" s="60">
        <f>J57+J61+J64+J66+J73+J76+J70</f>
        <v>0</v>
      </c>
      <c r="K56" s="15"/>
      <c r="L56" s="3"/>
      <c r="M56" s="3"/>
      <c r="N56" s="3"/>
      <c r="O56" s="3"/>
      <c r="P56" s="3"/>
    </row>
    <row r="57" spans="1:16" ht="19.5" customHeight="1">
      <c r="A57" s="46" t="s">
        <v>64</v>
      </c>
      <c r="B57" s="46" t="s">
        <v>65</v>
      </c>
      <c r="C57" s="21" t="s">
        <v>66</v>
      </c>
      <c r="D57" s="54">
        <f>D58+D59+D60</f>
        <v>1848.36</v>
      </c>
      <c r="E57" s="54">
        <f>E58+E59+E60</f>
        <v>5109.29</v>
      </c>
      <c r="F57" s="54">
        <f>F58+F59+F60</f>
        <v>85560</v>
      </c>
      <c r="G57" s="54">
        <f>G58</f>
        <v>70590</v>
      </c>
      <c r="H57" s="54">
        <f>H58+H59+H60</f>
        <v>108620</v>
      </c>
      <c r="I57" s="22">
        <f>I59</f>
        <v>0</v>
      </c>
      <c r="J57" s="22">
        <f>J59</f>
        <v>0</v>
      </c>
      <c r="K57" s="15"/>
      <c r="L57" s="3"/>
      <c r="M57" s="3"/>
      <c r="N57" s="3"/>
      <c r="O57" s="3"/>
      <c r="P57" s="3"/>
    </row>
    <row r="58" spans="1:16" ht="19.5" customHeight="1">
      <c r="A58" s="45" t="s">
        <v>69</v>
      </c>
      <c r="B58" s="45" t="s">
        <v>172</v>
      </c>
      <c r="C58" s="19" t="s">
        <v>195</v>
      </c>
      <c r="D58" s="68">
        <v>1848.36</v>
      </c>
      <c r="E58" s="68">
        <v>5109.29</v>
      </c>
      <c r="F58" s="68">
        <v>85560</v>
      </c>
      <c r="G58" s="68">
        <f>157071+43452-129933</f>
        <v>70590</v>
      </c>
      <c r="H58" s="68">
        <v>0</v>
      </c>
      <c r="I58" s="22">
        <v>0</v>
      </c>
      <c r="J58" s="22">
        <v>0</v>
      </c>
      <c r="K58" s="15"/>
      <c r="L58" s="3"/>
      <c r="M58" s="3"/>
      <c r="N58" s="3"/>
      <c r="O58" s="3"/>
      <c r="P58" s="3"/>
    </row>
    <row r="59" spans="1:16" ht="19.5" customHeight="1">
      <c r="A59" s="45" t="s">
        <v>71</v>
      </c>
      <c r="B59" s="45" t="s">
        <v>172</v>
      </c>
      <c r="C59" s="19" t="s">
        <v>192</v>
      </c>
      <c r="D59" s="68">
        <v>0</v>
      </c>
      <c r="E59" s="68">
        <v>0</v>
      </c>
      <c r="F59" s="68">
        <v>0</v>
      </c>
      <c r="G59" s="68">
        <v>0</v>
      </c>
      <c r="H59" s="68">
        <v>53620</v>
      </c>
      <c r="I59" s="53">
        <v>0</v>
      </c>
      <c r="J59" s="53">
        <v>0</v>
      </c>
      <c r="K59" s="15"/>
      <c r="L59" s="3"/>
      <c r="M59" s="3"/>
      <c r="N59" s="3"/>
      <c r="O59" s="3"/>
      <c r="P59" s="3"/>
    </row>
    <row r="60" spans="1:16" ht="19.5" customHeight="1">
      <c r="A60" s="45" t="s">
        <v>76</v>
      </c>
      <c r="B60" s="45" t="s">
        <v>172</v>
      </c>
      <c r="C60" s="19" t="s">
        <v>193</v>
      </c>
      <c r="D60" s="68">
        <v>0</v>
      </c>
      <c r="E60" s="68">
        <v>0</v>
      </c>
      <c r="F60" s="68">
        <v>0</v>
      </c>
      <c r="G60" s="68">
        <v>0</v>
      </c>
      <c r="H60" s="68">
        <v>55000</v>
      </c>
      <c r="I60" s="53">
        <v>0</v>
      </c>
      <c r="J60" s="53">
        <v>0</v>
      </c>
      <c r="K60" s="15"/>
      <c r="L60" s="3"/>
      <c r="M60" s="3"/>
      <c r="N60" s="3"/>
      <c r="O60" s="3"/>
      <c r="P60" s="3"/>
    </row>
    <row r="61" spans="1:16" ht="19.5" customHeight="1">
      <c r="A61" s="46" t="s">
        <v>94</v>
      </c>
      <c r="B61" s="46" t="s">
        <v>95</v>
      </c>
      <c r="C61" s="21" t="s">
        <v>96</v>
      </c>
      <c r="D61" s="54">
        <f aca="true" t="shared" si="10" ref="D61:J61">D62+D63</f>
        <v>95557.08</v>
      </c>
      <c r="E61" s="54">
        <f t="shared" si="10"/>
        <v>69693.7</v>
      </c>
      <c r="F61" s="54">
        <f t="shared" si="10"/>
        <v>2131573</v>
      </c>
      <c r="G61" s="54">
        <f t="shared" si="10"/>
        <v>400514</v>
      </c>
      <c r="H61" s="54">
        <f t="shared" si="10"/>
        <v>3895414.09</v>
      </c>
      <c r="I61" s="54">
        <f t="shared" si="10"/>
        <v>333023.69</v>
      </c>
      <c r="J61" s="22">
        <f t="shared" si="10"/>
        <v>0</v>
      </c>
      <c r="K61" s="15"/>
      <c r="L61" s="3"/>
      <c r="M61" s="3"/>
      <c r="N61" s="3"/>
      <c r="O61" s="3"/>
      <c r="P61" s="3"/>
    </row>
    <row r="62" spans="1:16" ht="19.5" customHeight="1">
      <c r="A62" s="45" t="s">
        <v>97</v>
      </c>
      <c r="B62" s="45" t="s">
        <v>98</v>
      </c>
      <c r="C62" s="19" t="s">
        <v>173</v>
      </c>
      <c r="D62" s="68">
        <v>8980</v>
      </c>
      <c r="E62" s="68">
        <v>69693.7</v>
      </c>
      <c r="F62" s="68">
        <v>353965</v>
      </c>
      <c r="G62" s="68">
        <v>241700</v>
      </c>
      <c r="H62" s="68">
        <v>81460</v>
      </c>
      <c r="I62" s="53">
        <v>0</v>
      </c>
      <c r="J62" s="53">
        <v>0</v>
      </c>
      <c r="K62" s="15"/>
      <c r="L62" s="3"/>
      <c r="M62" s="3"/>
      <c r="N62" s="3"/>
      <c r="O62" s="3"/>
      <c r="P62" s="3"/>
    </row>
    <row r="63" spans="1:16" ht="19.5" customHeight="1">
      <c r="A63" s="45" t="s">
        <v>98</v>
      </c>
      <c r="B63" s="45" t="s">
        <v>98</v>
      </c>
      <c r="C63" s="19" t="s">
        <v>174</v>
      </c>
      <c r="D63" s="68">
        <v>86577.08</v>
      </c>
      <c r="E63" s="68">
        <v>0</v>
      </c>
      <c r="F63" s="68">
        <v>1777608</v>
      </c>
      <c r="G63" s="68">
        <f>839750+1114+3350+10500-7900-688000</f>
        <v>158814</v>
      </c>
      <c r="H63" s="68">
        <v>3813954.09</v>
      </c>
      <c r="I63" s="68">
        <v>333023.69</v>
      </c>
      <c r="J63" s="53">
        <v>0</v>
      </c>
      <c r="K63" s="15"/>
      <c r="L63" s="3"/>
      <c r="M63" s="3"/>
      <c r="N63" s="3"/>
      <c r="O63" s="3"/>
      <c r="P63" s="3"/>
    </row>
    <row r="64" spans="1:16" ht="19.5" customHeight="1">
      <c r="A64" s="46" t="s">
        <v>104</v>
      </c>
      <c r="B64" s="46" t="s">
        <v>105</v>
      </c>
      <c r="C64" s="21" t="s">
        <v>106</v>
      </c>
      <c r="D64" s="54">
        <f>D65</f>
        <v>0</v>
      </c>
      <c r="E64" s="54">
        <f>E65</f>
        <v>0</v>
      </c>
      <c r="F64" s="54">
        <f>F65</f>
        <v>145150</v>
      </c>
      <c r="G64" s="54">
        <f>G65</f>
        <v>0</v>
      </c>
      <c r="H64" s="54">
        <f>H65</f>
        <v>136650.3</v>
      </c>
      <c r="I64" s="22">
        <v>0</v>
      </c>
      <c r="J64" s="22">
        <v>0</v>
      </c>
      <c r="K64" s="15"/>
      <c r="L64" s="3"/>
      <c r="M64" s="3"/>
      <c r="N64" s="3"/>
      <c r="O64" s="3"/>
      <c r="P64" s="3"/>
    </row>
    <row r="65" spans="1:16" ht="19.5" customHeight="1">
      <c r="A65" s="45" t="s">
        <v>109</v>
      </c>
      <c r="B65" s="45" t="s">
        <v>110</v>
      </c>
      <c r="C65" s="19" t="s">
        <v>175</v>
      </c>
      <c r="D65" s="68">
        <v>0</v>
      </c>
      <c r="E65" s="68">
        <v>0</v>
      </c>
      <c r="F65" s="68">
        <v>145150</v>
      </c>
      <c r="G65" s="68">
        <v>0</v>
      </c>
      <c r="H65" s="68">
        <v>136650.3</v>
      </c>
      <c r="I65" s="53">
        <v>0</v>
      </c>
      <c r="J65" s="53">
        <v>0</v>
      </c>
      <c r="K65" s="15"/>
      <c r="L65" s="3"/>
      <c r="M65" s="3"/>
      <c r="N65" s="3"/>
      <c r="O65" s="3"/>
      <c r="P65" s="3"/>
    </row>
    <row r="66" spans="1:16" ht="19.5" customHeight="1">
      <c r="A66" s="46" t="s">
        <v>114</v>
      </c>
      <c r="B66" s="46" t="s">
        <v>115</v>
      </c>
      <c r="C66" s="21" t="s">
        <v>116</v>
      </c>
      <c r="D66" s="54">
        <f>D67+D68+D69</f>
        <v>13464</v>
      </c>
      <c r="E66" s="54">
        <f>E67+E68+E69</f>
        <v>608048.79</v>
      </c>
      <c r="F66" s="54">
        <f>F67+F68+F69</f>
        <v>237202</v>
      </c>
      <c r="G66" s="54">
        <f>G67+G68+G69</f>
        <v>659137.9299999999</v>
      </c>
      <c r="H66" s="54">
        <v>547000</v>
      </c>
      <c r="I66" s="22">
        <f>I67+I68+I69</f>
        <v>0</v>
      </c>
      <c r="J66" s="22">
        <f>J67+J68+J69</f>
        <v>0</v>
      </c>
      <c r="K66" s="15"/>
      <c r="L66" s="3"/>
      <c r="M66" s="3"/>
      <c r="N66" s="3"/>
      <c r="O66" s="3"/>
      <c r="P66" s="3"/>
    </row>
    <row r="67" spans="1:16" ht="19.5" customHeight="1">
      <c r="A67" s="45" t="s">
        <v>98</v>
      </c>
      <c r="B67" s="45" t="s">
        <v>107</v>
      </c>
      <c r="C67" s="19" t="s">
        <v>176</v>
      </c>
      <c r="D67" s="68">
        <v>0</v>
      </c>
      <c r="E67" s="68">
        <v>0</v>
      </c>
      <c r="F67" s="68">
        <v>30000</v>
      </c>
      <c r="G67" s="68">
        <f>48500-3150+50641</f>
        <v>95991</v>
      </c>
      <c r="H67" s="68">
        <v>81000</v>
      </c>
      <c r="I67" s="53">
        <v>0</v>
      </c>
      <c r="J67" s="53">
        <v>0</v>
      </c>
      <c r="K67" s="15"/>
      <c r="L67" s="3"/>
      <c r="M67" s="3"/>
      <c r="N67" s="3"/>
      <c r="O67" s="3"/>
      <c r="P67" s="3"/>
    </row>
    <row r="68" spans="1:16" ht="19.5" customHeight="1">
      <c r="A68" s="45" t="s">
        <v>98</v>
      </c>
      <c r="B68" s="45" t="s">
        <v>85</v>
      </c>
      <c r="C68" s="19" t="s">
        <v>177</v>
      </c>
      <c r="D68" s="68">
        <v>13464</v>
      </c>
      <c r="E68" s="68">
        <v>14138</v>
      </c>
      <c r="F68" s="68">
        <v>207202</v>
      </c>
      <c r="G68" s="68">
        <f>207203-1114-1540-112.07-16851-3058-10781</f>
        <v>173746.93</v>
      </c>
      <c r="H68" s="68">
        <v>173000</v>
      </c>
      <c r="I68" s="53">
        <v>0</v>
      </c>
      <c r="J68" s="53">
        <v>0</v>
      </c>
      <c r="K68" s="15"/>
      <c r="L68" s="3"/>
      <c r="M68" s="3"/>
      <c r="N68" s="3"/>
      <c r="O68" s="3"/>
      <c r="P68" s="3"/>
    </row>
    <row r="69" spans="1:16" ht="19.5" customHeight="1">
      <c r="A69" s="45" t="s">
        <v>118</v>
      </c>
      <c r="B69" s="45" t="s">
        <v>85</v>
      </c>
      <c r="C69" s="19" t="s">
        <v>178</v>
      </c>
      <c r="D69" s="68">
        <v>0</v>
      </c>
      <c r="E69" s="68">
        <v>593910.79</v>
      </c>
      <c r="F69" s="68">
        <v>0</v>
      </c>
      <c r="G69" s="68">
        <v>389400</v>
      </c>
      <c r="H69" s="68">
        <v>293000</v>
      </c>
      <c r="I69" s="53">
        <v>0</v>
      </c>
      <c r="J69" s="53">
        <v>0</v>
      </c>
      <c r="K69" s="15"/>
      <c r="L69" s="3"/>
      <c r="M69" s="3"/>
      <c r="N69" s="3"/>
      <c r="O69" s="3"/>
      <c r="P69" s="3"/>
    </row>
    <row r="70" spans="1:16" ht="19.5" customHeight="1">
      <c r="A70" s="43" t="s">
        <v>122</v>
      </c>
      <c r="B70" s="57" t="s">
        <v>123</v>
      </c>
      <c r="C70" s="21" t="s">
        <v>124</v>
      </c>
      <c r="D70" s="54">
        <f aca="true" t="shared" si="11" ref="D70:J70">D71+D72</f>
        <v>0</v>
      </c>
      <c r="E70" s="54">
        <f t="shared" si="11"/>
        <v>0</v>
      </c>
      <c r="F70" s="54">
        <f t="shared" si="11"/>
        <v>0</v>
      </c>
      <c r="G70" s="54">
        <f t="shared" si="11"/>
        <v>14000</v>
      </c>
      <c r="H70" s="54">
        <f t="shared" si="11"/>
        <v>0</v>
      </c>
      <c r="I70" s="22">
        <f t="shared" si="11"/>
        <v>0</v>
      </c>
      <c r="J70" s="22">
        <f t="shared" si="11"/>
        <v>0</v>
      </c>
      <c r="K70" s="15"/>
      <c r="L70" s="3"/>
      <c r="M70" s="3"/>
      <c r="N70" s="3"/>
      <c r="O70" s="3"/>
      <c r="P70" s="3"/>
    </row>
    <row r="71" spans="1:16" ht="19.5" customHeight="1">
      <c r="A71" s="44" t="s">
        <v>128</v>
      </c>
      <c r="B71" s="14" t="s">
        <v>85</v>
      </c>
      <c r="C71" s="19" t="s">
        <v>204</v>
      </c>
      <c r="D71" s="68">
        <v>0</v>
      </c>
      <c r="E71" s="68">
        <v>0</v>
      </c>
      <c r="F71" s="68">
        <v>0</v>
      </c>
      <c r="G71" s="68">
        <v>7000</v>
      </c>
      <c r="H71" s="68">
        <v>0</v>
      </c>
      <c r="I71" s="53">
        <v>0</v>
      </c>
      <c r="J71" s="53">
        <v>0</v>
      </c>
      <c r="K71" s="15"/>
      <c r="L71" s="3"/>
      <c r="M71" s="3"/>
      <c r="N71" s="3"/>
      <c r="O71" s="3"/>
      <c r="P71" s="3"/>
    </row>
    <row r="72" spans="1:16" ht="19.5" customHeight="1">
      <c r="A72" s="44" t="s">
        <v>129</v>
      </c>
      <c r="B72" s="14" t="s">
        <v>130</v>
      </c>
      <c r="C72" s="19" t="s">
        <v>205</v>
      </c>
      <c r="D72" s="68">
        <v>0</v>
      </c>
      <c r="E72" s="68">
        <v>0</v>
      </c>
      <c r="F72" s="68">
        <v>0</v>
      </c>
      <c r="G72" s="68">
        <v>7000</v>
      </c>
      <c r="H72" s="68">
        <v>0</v>
      </c>
      <c r="I72" s="53">
        <v>0</v>
      </c>
      <c r="J72" s="53">
        <v>0</v>
      </c>
      <c r="K72" s="15"/>
      <c r="L72" s="3"/>
      <c r="M72" s="3"/>
      <c r="N72" s="3"/>
      <c r="O72" s="3"/>
      <c r="P72" s="3"/>
    </row>
    <row r="73" spans="1:16" ht="19.5" customHeight="1">
      <c r="A73" s="46" t="s">
        <v>137</v>
      </c>
      <c r="B73" s="46" t="s">
        <v>138</v>
      </c>
      <c r="C73" s="21" t="s">
        <v>139</v>
      </c>
      <c r="D73" s="54">
        <f aca="true" t="shared" si="12" ref="D73:J73">D74+D75</f>
        <v>36751.81</v>
      </c>
      <c r="E73" s="54">
        <f t="shared" si="12"/>
        <v>203625.12</v>
      </c>
      <c r="F73" s="54">
        <f t="shared" si="12"/>
        <v>2415692</v>
      </c>
      <c r="G73" s="54">
        <f t="shared" si="12"/>
        <v>1684154.07</v>
      </c>
      <c r="H73" s="54">
        <f t="shared" si="12"/>
        <v>3087925.4</v>
      </c>
      <c r="I73" s="54">
        <f t="shared" si="12"/>
        <v>979715.69</v>
      </c>
      <c r="J73" s="22">
        <f t="shared" si="12"/>
        <v>0</v>
      </c>
      <c r="K73" s="15"/>
      <c r="L73" s="3"/>
      <c r="M73" s="3"/>
      <c r="N73" s="3"/>
      <c r="O73" s="3"/>
      <c r="P73" s="3"/>
    </row>
    <row r="74" spans="1:16" ht="19.5" customHeight="1">
      <c r="A74" s="45" t="s">
        <v>98</v>
      </c>
      <c r="B74" s="45" t="s">
        <v>67</v>
      </c>
      <c r="C74" s="19" t="s">
        <v>141</v>
      </c>
      <c r="D74" s="68">
        <v>0</v>
      </c>
      <c r="E74" s="68">
        <v>0</v>
      </c>
      <c r="F74" s="68">
        <v>30000</v>
      </c>
      <c r="G74" s="68">
        <f>52000-23900</f>
        <v>28100</v>
      </c>
      <c r="H74" s="68">
        <v>53500</v>
      </c>
      <c r="I74" s="53">
        <v>0</v>
      </c>
      <c r="J74" s="53">
        <v>0</v>
      </c>
      <c r="K74" s="15"/>
      <c r="L74" s="3"/>
      <c r="M74" s="3"/>
      <c r="N74" s="3"/>
      <c r="O74" s="3"/>
      <c r="P74" s="3"/>
    </row>
    <row r="75" spans="1:16" ht="19.5" customHeight="1">
      <c r="A75" s="45" t="s">
        <v>98</v>
      </c>
      <c r="B75" s="45" t="s">
        <v>69</v>
      </c>
      <c r="C75" s="19" t="s">
        <v>179</v>
      </c>
      <c r="D75" s="68">
        <f>9788.81+26963</f>
        <v>36751.81</v>
      </c>
      <c r="E75" s="68">
        <v>203625.12</v>
      </c>
      <c r="F75" s="68">
        <v>2385692</v>
      </c>
      <c r="G75" s="68">
        <f>1607170-200-22000+1540+13500+7900-3000+16851+10781+3112.07+20400</f>
        <v>1656054.07</v>
      </c>
      <c r="H75" s="68">
        <v>3034425.4</v>
      </c>
      <c r="I75" s="68">
        <v>979715.69</v>
      </c>
      <c r="J75" s="53">
        <v>0</v>
      </c>
      <c r="K75" s="15"/>
      <c r="L75" s="3"/>
      <c r="M75" s="3"/>
      <c r="N75" s="3"/>
      <c r="O75" s="3"/>
      <c r="P75" s="3"/>
    </row>
    <row r="76" spans="1:16" ht="19.5" customHeight="1">
      <c r="A76" s="46" t="s">
        <v>151</v>
      </c>
      <c r="B76" s="46" t="s">
        <v>152</v>
      </c>
      <c r="C76" s="21" t="s">
        <v>153</v>
      </c>
      <c r="D76" s="54">
        <f>D77</f>
        <v>0</v>
      </c>
      <c r="E76" s="54">
        <f>E77</f>
        <v>0</v>
      </c>
      <c r="F76" s="54">
        <f>F77</f>
        <v>124000</v>
      </c>
      <c r="G76" s="54">
        <f>G77</f>
        <v>52058</v>
      </c>
      <c r="H76" s="54">
        <v>0</v>
      </c>
      <c r="I76" s="22">
        <v>0</v>
      </c>
      <c r="J76" s="22">
        <f>J77</f>
        <v>0</v>
      </c>
      <c r="K76" s="15"/>
      <c r="L76" s="3"/>
      <c r="M76" s="3"/>
      <c r="N76" s="3"/>
      <c r="O76" s="3"/>
      <c r="P76" s="3"/>
    </row>
    <row r="77" spans="1:16" ht="19.5" customHeight="1">
      <c r="A77" s="45" t="s">
        <v>180</v>
      </c>
      <c r="B77" s="45" t="s">
        <v>155</v>
      </c>
      <c r="C77" s="19" t="s">
        <v>181</v>
      </c>
      <c r="D77" s="68">
        <v>0</v>
      </c>
      <c r="E77" s="68">
        <v>0</v>
      </c>
      <c r="F77" s="68">
        <v>124000</v>
      </c>
      <c r="G77" s="68">
        <f>124000+3058-60000-15000</f>
        <v>52058</v>
      </c>
      <c r="H77" s="68">
        <v>0</v>
      </c>
      <c r="I77" s="53">
        <v>0</v>
      </c>
      <c r="J77" s="53">
        <v>0</v>
      </c>
      <c r="K77" s="15"/>
      <c r="L77" s="3"/>
      <c r="M77" s="3"/>
      <c r="N77" s="3"/>
      <c r="O77" s="3"/>
      <c r="P77" s="3"/>
    </row>
    <row r="78" spans="1:16" ht="19.5" customHeight="1">
      <c r="A78" s="59" t="s">
        <v>182</v>
      </c>
      <c r="B78" s="62"/>
      <c r="C78" s="63"/>
      <c r="D78" s="67">
        <f>D56+D11</f>
        <v>14263790.629999999</v>
      </c>
      <c r="E78" s="67">
        <f>E56+E11</f>
        <v>16170298.569999998</v>
      </c>
      <c r="F78" s="67">
        <v>20716229</v>
      </c>
      <c r="G78" s="67">
        <f>G56+G11</f>
        <v>17664022.189999998</v>
      </c>
      <c r="H78" s="67">
        <f>H56+H11</f>
        <v>22387170.79</v>
      </c>
      <c r="I78" s="60">
        <f>I56+I11</f>
        <v>15875191.379999999</v>
      </c>
      <c r="J78" s="60">
        <f>J56+J11</f>
        <v>14650475</v>
      </c>
      <c r="K78" s="15"/>
      <c r="L78" s="3"/>
      <c r="M78" s="3"/>
      <c r="N78" s="3"/>
      <c r="O78" s="3"/>
      <c r="P78" s="3"/>
    </row>
    <row r="79" spans="7:16" ht="15.75">
      <c r="G79" s="81"/>
      <c r="I79" s="29"/>
      <c r="J79" s="15"/>
      <c r="K79" s="15"/>
      <c r="L79" s="3"/>
      <c r="M79" s="3"/>
      <c r="N79" s="3"/>
      <c r="O79" s="3"/>
      <c r="P79" s="3"/>
    </row>
    <row r="80" spans="7:16" ht="15.75">
      <c r="G80" s="81"/>
      <c r="I80" s="29"/>
      <c r="J80" s="15"/>
      <c r="K80" s="15"/>
      <c r="L80" s="3"/>
      <c r="M80" s="3"/>
      <c r="N80" s="3"/>
      <c r="O80" s="3"/>
      <c r="P80" s="3"/>
    </row>
    <row r="81" spans="7:16" ht="15.75">
      <c r="G81" s="3"/>
      <c r="H81" s="70"/>
      <c r="I81" s="29"/>
      <c r="J81" s="15"/>
      <c r="K81" s="15"/>
      <c r="L81" s="3"/>
      <c r="M81" s="3"/>
      <c r="N81" s="3"/>
      <c r="O81" s="3"/>
      <c r="P81" s="3"/>
    </row>
    <row r="82" spans="7:16" ht="12.75">
      <c r="G82" s="3"/>
      <c r="I82" s="29"/>
      <c r="J82" s="15"/>
      <c r="K82" s="15"/>
      <c r="L82" s="3"/>
      <c r="M82" s="3"/>
      <c r="N82" s="3"/>
      <c r="O82" s="3"/>
      <c r="P82" s="3"/>
    </row>
    <row r="83" spans="5:16" ht="26.25">
      <c r="E83" s="82">
        <v>28</v>
      </c>
      <c r="G83" s="74"/>
      <c r="H83" s="70"/>
      <c r="I83" s="29"/>
      <c r="J83" s="15"/>
      <c r="K83" s="15"/>
      <c r="L83" s="3"/>
      <c r="M83" s="3"/>
      <c r="N83" s="3"/>
      <c r="O83" s="3"/>
      <c r="P83" s="3"/>
    </row>
    <row r="84" spans="7:16" ht="12.75">
      <c r="G84" s="3"/>
      <c r="I84" s="29"/>
      <c r="J84" s="15"/>
      <c r="K84" s="15"/>
      <c r="L84" s="3"/>
      <c r="M84" s="3"/>
      <c r="N84" s="3"/>
      <c r="O84" s="3"/>
      <c r="P84" s="3"/>
    </row>
    <row r="85" spans="7:16" ht="12.75">
      <c r="G85" s="3"/>
      <c r="I85" s="29"/>
      <c r="J85" s="15"/>
      <c r="K85" s="15"/>
      <c r="L85" s="3"/>
      <c r="M85" s="3"/>
      <c r="N85" s="3"/>
      <c r="O85" s="3"/>
      <c r="P85" s="3"/>
    </row>
    <row r="86" spans="7:16" ht="12.75">
      <c r="G86" s="3"/>
      <c r="I86" s="29"/>
      <c r="J86" s="15"/>
      <c r="K86" s="15"/>
      <c r="L86" s="3"/>
      <c r="M86" s="3"/>
      <c r="N86" s="3"/>
      <c r="O86" s="3"/>
      <c r="P86" s="3"/>
    </row>
    <row r="87" spans="7:16" ht="12.75">
      <c r="G87" s="3"/>
      <c r="I87" s="29"/>
      <c r="J87" s="15"/>
      <c r="K87" s="15"/>
      <c r="L87" s="3"/>
      <c r="M87" s="3"/>
      <c r="N87" s="3"/>
      <c r="O87" s="3"/>
      <c r="P87" s="3"/>
    </row>
    <row r="88" spans="7:16" ht="12.75">
      <c r="G88" s="3"/>
      <c r="I88" s="29"/>
      <c r="J88" s="15"/>
      <c r="K88" s="15"/>
      <c r="L88" s="3"/>
      <c r="M88" s="3"/>
      <c r="N88" s="3"/>
      <c r="O88" s="3"/>
      <c r="P88" s="3"/>
    </row>
    <row r="89" spans="7:16" ht="12.75">
      <c r="G89" s="3"/>
      <c r="I89" s="29"/>
      <c r="J89" s="15"/>
      <c r="K89" s="15"/>
      <c r="L89" s="3"/>
      <c r="M89" s="3"/>
      <c r="N89" s="3"/>
      <c r="O89" s="3"/>
      <c r="P89" s="3"/>
    </row>
    <row r="90" spans="7:16" ht="12.75">
      <c r="G90" s="3"/>
      <c r="I90" s="29"/>
      <c r="J90" s="15"/>
      <c r="K90" s="15"/>
      <c r="L90" s="3"/>
      <c r="M90" s="3"/>
      <c r="N90" s="3"/>
      <c r="O90" s="3"/>
      <c r="P90" s="3"/>
    </row>
    <row r="91" spans="7:16" ht="12.75">
      <c r="G91" s="3"/>
      <c r="I91" s="29"/>
      <c r="J91" s="15"/>
      <c r="K91" s="15"/>
      <c r="L91" s="3"/>
      <c r="M91" s="3"/>
      <c r="N91" s="3"/>
      <c r="O91" s="3"/>
      <c r="P91" s="3"/>
    </row>
    <row r="92" spans="7:16" ht="12.75">
      <c r="G92" s="3"/>
      <c r="I92" s="29"/>
      <c r="J92" s="15"/>
      <c r="K92" s="15"/>
      <c r="L92" s="3"/>
      <c r="M92" s="3"/>
      <c r="N92" s="3"/>
      <c r="O92" s="3"/>
      <c r="P92" s="3"/>
    </row>
    <row r="93" spans="7:16" ht="12.75">
      <c r="G93" s="3"/>
      <c r="I93" s="29"/>
      <c r="J93" s="15"/>
      <c r="K93" s="15"/>
      <c r="L93" s="3"/>
      <c r="M93" s="3"/>
      <c r="N93" s="3"/>
      <c r="O93" s="3"/>
      <c r="P93" s="3"/>
    </row>
    <row r="94" spans="7:16" ht="12.75">
      <c r="G94" s="3"/>
      <c r="I94" s="29"/>
      <c r="J94" s="15"/>
      <c r="K94" s="15"/>
      <c r="L94" s="3"/>
      <c r="M94" s="3"/>
      <c r="N94" s="3"/>
      <c r="O94" s="3"/>
      <c r="P94" s="3"/>
    </row>
    <row r="95" spans="7:16" ht="12.75">
      <c r="G95" s="3"/>
      <c r="I95" s="29"/>
      <c r="J95" s="15"/>
      <c r="K95" s="15"/>
      <c r="L95" s="3"/>
      <c r="M95" s="3"/>
      <c r="N95" s="3"/>
      <c r="O95" s="3"/>
      <c r="P95" s="3"/>
    </row>
    <row r="96" spans="7:16" ht="12.75">
      <c r="G96" s="3"/>
      <c r="I96" s="29"/>
      <c r="J96" s="15"/>
      <c r="K96" s="15"/>
      <c r="L96" s="3"/>
      <c r="M96" s="3"/>
      <c r="N96" s="3"/>
      <c r="O96" s="3"/>
      <c r="P96" s="3"/>
    </row>
    <row r="97" spans="7:16" ht="12.75">
      <c r="G97" s="3"/>
      <c r="I97" s="3"/>
      <c r="J97" s="15"/>
      <c r="K97" s="15"/>
      <c r="L97" s="3"/>
      <c r="M97" s="3"/>
      <c r="N97" s="3"/>
      <c r="O97" s="3"/>
      <c r="P97" s="3"/>
    </row>
    <row r="98" spans="7:16" ht="12.75">
      <c r="G98" s="3"/>
      <c r="I98" s="3"/>
      <c r="J98" s="15"/>
      <c r="K98" s="15"/>
      <c r="L98" s="3"/>
      <c r="M98" s="3"/>
      <c r="N98" s="3"/>
      <c r="O98" s="3"/>
      <c r="P98" s="3"/>
    </row>
    <row r="99" spans="7:16" ht="12.75">
      <c r="G99" s="3"/>
      <c r="I99" s="3"/>
      <c r="J99" s="15"/>
      <c r="K99" s="15"/>
      <c r="L99" s="3"/>
      <c r="M99" s="3"/>
      <c r="N99" s="3"/>
      <c r="O99" s="3"/>
      <c r="P99" s="3"/>
    </row>
    <row r="100" spans="7:16" ht="12.75">
      <c r="G100" s="3"/>
      <c r="I100" s="3"/>
      <c r="J100" s="15"/>
      <c r="K100" s="15"/>
      <c r="L100" s="3"/>
      <c r="M100" s="3"/>
      <c r="N100" s="3"/>
      <c r="O100" s="3"/>
      <c r="P100" s="3"/>
    </row>
    <row r="101" spans="7:16" ht="12.75">
      <c r="G101" s="3"/>
      <c r="I101" s="3"/>
      <c r="J101" s="15"/>
      <c r="K101" s="15"/>
      <c r="L101" s="3"/>
      <c r="M101" s="3"/>
      <c r="N101" s="3"/>
      <c r="O101" s="3"/>
      <c r="P101" s="3"/>
    </row>
    <row r="102" spans="7:16" ht="12.75">
      <c r="G102" s="3"/>
      <c r="I102" s="3"/>
      <c r="J102" s="15"/>
      <c r="K102" s="15"/>
      <c r="L102" s="3"/>
      <c r="M102" s="3"/>
      <c r="N102" s="3"/>
      <c r="O102" s="3"/>
      <c r="P102" s="3"/>
    </row>
    <row r="103" spans="9:16" ht="12.75">
      <c r="I103" s="3"/>
      <c r="J103" s="15"/>
      <c r="K103" s="15"/>
      <c r="L103" s="3"/>
      <c r="M103" s="3"/>
      <c r="N103" s="3"/>
      <c r="O103" s="3"/>
      <c r="P103" s="3"/>
    </row>
    <row r="104" spans="9:16" ht="12.75">
      <c r="I104" s="3"/>
      <c r="J104" s="15"/>
      <c r="K104" s="15"/>
      <c r="L104" s="3"/>
      <c r="M104" s="3"/>
      <c r="N104" s="3"/>
      <c r="O104" s="3"/>
      <c r="P104" s="3"/>
    </row>
    <row r="105" spans="9:16" ht="12.75">
      <c r="I105" s="3"/>
      <c r="J105" s="15"/>
      <c r="K105" s="15"/>
      <c r="L105" s="3"/>
      <c r="M105" s="3"/>
      <c r="N105" s="3"/>
      <c r="O105" s="3"/>
      <c r="P105" s="3"/>
    </row>
    <row r="106" spans="9:16" ht="12.75">
      <c r="I106" s="3"/>
      <c r="J106" s="15"/>
      <c r="K106" s="15"/>
      <c r="L106" s="3"/>
      <c r="M106" s="3"/>
      <c r="N106" s="3"/>
      <c r="O106" s="3"/>
      <c r="P106" s="3"/>
    </row>
    <row r="107" spans="9:16" ht="12.75">
      <c r="I107" s="3"/>
      <c r="J107" s="15"/>
      <c r="K107" s="15"/>
      <c r="L107" s="3"/>
      <c r="M107" s="3"/>
      <c r="N107" s="3"/>
      <c r="O107" s="3"/>
      <c r="P107" s="3"/>
    </row>
    <row r="108" spans="9:16" ht="12.75">
      <c r="I108" s="3"/>
      <c r="J108" s="15"/>
      <c r="K108" s="15"/>
      <c r="L108" s="3"/>
      <c r="M108" s="3"/>
      <c r="N108" s="3"/>
      <c r="O108" s="3"/>
      <c r="P108" s="3"/>
    </row>
    <row r="109" spans="9:16" ht="12.75">
      <c r="I109" s="3"/>
      <c r="J109" s="15"/>
      <c r="K109" s="15"/>
      <c r="L109" s="3"/>
      <c r="M109" s="3"/>
      <c r="N109" s="3"/>
      <c r="O109" s="3"/>
      <c r="P109" s="3"/>
    </row>
    <row r="110" spans="9:16" ht="12.75">
      <c r="I110" s="3"/>
      <c r="J110" s="15"/>
      <c r="K110" s="15"/>
      <c r="L110" s="3"/>
      <c r="M110" s="3"/>
      <c r="N110" s="3"/>
      <c r="O110" s="3"/>
      <c r="P110" s="3"/>
    </row>
    <row r="111" spans="9:16" ht="12.75">
      <c r="I111" s="3"/>
      <c r="J111" s="3"/>
      <c r="K111" s="3"/>
      <c r="L111" s="3"/>
      <c r="M111" s="3"/>
      <c r="N111" s="3"/>
      <c r="O111" s="3"/>
      <c r="P111" s="3"/>
    </row>
    <row r="112" spans="9:16" ht="12.75">
      <c r="I112" s="3"/>
      <c r="J112" s="3"/>
      <c r="K112" s="3"/>
      <c r="L112" s="3"/>
      <c r="M112" s="3"/>
      <c r="N112" s="3"/>
      <c r="O112" s="3"/>
      <c r="P112" s="3"/>
    </row>
    <row r="113" spans="9:16" ht="12.75">
      <c r="I113" s="3"/>
      <c r="J113" s="3"/>
      <c r="K113" s="3"/>
      <c r="L113" s="3"/>
      <c r="M113" s="3"/>
      <c r="N113" s="3"/>
      <c r="O113" s="3"/>
      <c r="P113" s="3"/>
    </row>
    <row r="114" spans="9:16" ht="12.75">
      <c r="I114" s="3"/>
      <c r="J114" s="3"/>
      <c r="K114" s="3"/>
      <c r="L114" s="3"/>
      <c r="M114" s="3"/>
      <c r="N114" s="3"/>
      <c r="O114" s="3"/>
      <c r="P114" s="3"/>
    </row>
    <row r="115" spans="9:16" ht="12.75">
      <c r="I115" s="3"/>
      <c r="J115" s="3"/>
      <c r="K115" s="3"/>
      <c r="L115" s="3"/>
      <c r="M115" s="3"/>
      <c r="N115" s="3"/>
      <c r="O115" s="3"/>
      <c r="P115" s="3"/>
    </row>
    <row r="116" spans="9:16" ht="12.75">
      <c r="I116" s="3"/>
      <c r="J116" s="3"/>
      <c r="K116" s="3"/>
      <c r="L116" s="3"/>
      <c r="M116" s="3"/>
      <c r="N116" s="3"/>
      <c r="O116" s="3"/>
      <c r="P116" s="3"/>
    </row>
    <row r="117" spans="9:16" ht="12.75">
      <c r="I117" s="3"/>
      <c r="J117" s="3"/>
      <c r="K117" s="3"/>
      <c r="L117" s="3"/>
      <c r="M117" s="3"/>
      <c r="N117" s="3"/>
      <c r="O117" s="3"/>
      <c r="P117" s="3"/>
    </row>
    <row r="118" spans="9:16" ht="12.75">
      <c r="I118" s="3"/>
      <c r="J118" s="3"/>
      <c r="K118" s="3"/>
      <c r="L118" s="3"/>
      <c r="M118" s="3"/>
      <c r="N118" s="3"/>
      <c r="O118" s="3"/>
      <c r="P118" s="3"/>
    </row>
    <row r="119" spans="9:16" ht="12.75">
      <c r="I119" s="3"/>
      <c r="J119" s="3"/>
      <c r="K119" s="3"/>
      <c r="L119" s="3"/>
      <c r="M119" s="3"/>
      <c r="N119" s="3"/>
      <c r="O119" s="3"/>
      <c r="P119" s="3"/>
    </row>
    <row r="120" spans="9:16" ht="12.75">
      <c r="I120" s="3"/>
      <c r="J120" s="3"/>
      <c r="K120" s="3"/>
      <c r="L120" s="3"/>
      <c r="M120" s="3"/>
      <c r="N120" s="3"/>
      <c r="O120" s="3"/>
      <c r="P120" s="3"/>
    </row>
    <row r="121" spans="9:16" ht="12.75">
      <c r="I121" s="3"/>
      <c r="J121" s="3"/>
      <c r="K121" s="3"/>
      <c r="L121" s="3"/>
      <c r="M121" s="3"/>
      <c r="N121" s="3"/>
      <c r="O121" s="3"/>
      <c r="P121" s="3"/>
    </row>
    <row r="122" spans="9:16" ht="12.75">
      <c r="I122" s="3"/>
      <c r="J122" s="3"/>
      <c r="K122" s="3"/>
      <c r="L122" s="3"/>
      <c r="M122" s="3"/>
      <c r="N122" s="3"/>
      <c r="O122" s="3"/>
      <c r="P122" s="3"/>
    </row>
    <row r="123" spans="9:16" ht="12.75">
      <c r="I123" s="3"/>
      <c r="J123" s="3"/>
      <c r="K123" s="3"/>
      <c r="L123" s="3"/>
      <c r="M123" s="3"/>
      <c r="N123" s="3"/>
      <c r="O123" s="3"/>
      <c r="P123" s="3"/>
    </row>
    <row r="124" spans="9:16" ht="12.75">
      <c r="I124" s="3"/>
      <c r="J124" s="3"/>
      <c r="K124" s="3"/>
      <c r="L124" s="3"/>
      <c r="M124" s="3"/>
      <c r="N124" s="3"/>
      <c r="O124" s="3"/>
      <c r="P124" s="3"/>
    </row>
    <row r="125" spans="9:16" ht="12.75">
      <c r="I125" s="3"/>
      <c r="J125" s="3"/>
      <c r="K125" s="3"/>
      <c r="L125" s="3"/>
      <c r="M125" s="3"/>
      <c r="N125" s="3"/>
      <c r="O125" s="3"/>
      <c r="P125" s="3"/>
    </row>
    <row r="126" spans="9:16" ht="12.75">
      <c r="I126" s="3"/>
      <c r="J126" s="3"/>
      <c r="K126" s="3"/>
      <c r="L126" s="3"/>
      <c r="M126" s="3"/>
      <c r="N126" s="3"/>
      <c r="O126" s="3"/>
      <c r="P126" s="3"/>
    </row>
    <row r="127" spans="9:16" ht="12.75">
      <c r="I127" s="3"/>
      <c r="J127" s="3"/>
      <c r="K127" s="3"/>
      <c r="L127" s="3"/>
      <c r="M127" s="3"/>
      <c r="N127" s="3"/>
      <c r="O127" s="3"/>
      <c r="P127" s="3"/>
    </row>
    <row r="128" spans="9:16" ht="12.75">
      <c r="I128" s="3"/>
      <c r="J128" s="3"/>
      <c r="K128" s="3"/>
      <c r="L128" s="3"/>
      <c r="M128" s="3"/>
      <c r="N128" s="3"/>
      <c r="O128" s="3"/>
      <c r="P128" s="3"/>
    </row>
    <row r="129" spans="9:16" ht="12.75">
      <c r="I129" s="3"/>
      <c r="J129" s="3"/>
      <c r="K129" s="3"/>
      <c r="L129" s="3"/>
      <c r="M129" s="3"/>
      <c r="N129" s="3"/>
      <c r="O129" s="3"/>
      <c r="P129" s="3"/>
    </row>
    <row r="130" spans="9:16" ht="12.75">
      <c r="I130" s="3"/>
      <c r="J130" s="3"/>
      <c r="K130" s="3"/>
      <c r="L130" s="3"/>
      <c r="M130" s="3"/>
      <c r="N130" s="3"/>
      <c r="O130" s="3"/>
      <c r="P130" s="3"/>
    </row>
    <row r="131" spans="9:16" ht="12.75">
      <c r="I131" s="3"/>
      <c r="J131" s="3"/>
      <c r="K131" s="3"/>
      <c r="L131" s="3"/>
      <c r="M131" s="3"/>
      <c r="N131" s="3"/>
      <c r="O131" s="3"/>
      <c r="P131" s="3"/>
    </row>
    <row r="132" spans="9:16" ht="12.75">
      <c r="I132" s="3"/>
      <c r="J132" s="3"/>
      <c r="K132" s="3"/>
      <c r="L132" s="3"/>
      <c r="M132" s="3"/>
      <c r="N132" s="3"/>
      <c r="O132" s="3"/>
      <c r="P132" s="3"/>
    </row>
    <row r="133" spans="9:16" ht="12.75">
      <c r="I133" s="3"/>
      <c r="J133" s="3"/>
      <c r="K133" s="3"/>
      <c r="L133" s="3"/>
      <c r="M133" s="3"/>
      <c r="N133" s="3"/>
      <c r="O133" s="3"/>
      <c r="P133" s="3"/>
    </row>
    <row r="134" spans="9:16" ht="12.75">
      <c r="I134" s="3"/>
      <c r="J134" s="3"/>
      <c r="K134" s="3"/>
      <c r="L134" s="3"/>
      <c r="M134" s="3"/>
      <c r="N134" s="3"/>
      <c r="O134" s="3"/>
      <c r="P134" s="3"/>
    </row>
    <row r="135" spans="9:16" ht="12.75">
      <c r="I135" s="3"/>
      <c r="J135" s="3"/>
      <c r="K135" s="3"/>
      <c r="L135" s="3"/>
      <c r="M135" s="3"/>
      <c r="N135" s="3"/>
      <c r="O135" s="3"/>
      <c r="P135" s="3"/>
    </row>
    <row r="136" spans="9:16" ht="12.75">
      <c r="I136" s="3"/>
      <c r="J136" s="3"/>
      <c r="K136" s="3"/>
      <c r="L136" s="3"/>
      <c r="M136" s="3"/>
      <c r="N136" s="3"/>
      <c r="O136" s="3"/>
      <c r="P136" s="3"/>
    </row>
    <row r="137" spans="9:16" ht="12.75">
      <c r="I137" s="3"/>
      <c r="J137" s="3"/>
      <c r="K137" s="3"/>
      <c r="L137" s="3"/>
      <c r="M137" s="3"/>
      <c r="N137" s="3"/>
      <c r="O137" s="3"/>
      <c r="P137" s="3"/>
    </row>
    <row r="138" spans="9:16" ht="12.75">
      <c r="I138" s="3"/>
      <c r="J138" s="3"/>
      <c r="K138" s="3"/>
      <c r="L138" s="3"/>
      <c r="M138" s="3"/>
      <c r="N138" s="3"/>
      <c r="O138" s="3"/>
      <c r="P138" s="3"/>
    </row>
    <row r="139" spans="9:16" ht="12.75">
      <c r="I139" s="3"/>
      <c r="J139" s="3"/>
      <c r="K139" s="3"/>
      <c r="L139" s="3"/>
      <c r="M139" s="3"/>
      <c r="N139" s="3"/>
      <c r="O139" s="3"/>
      <c r="P139" s="3"/>
    </row>
    <row r="140" spans="9:16" ht="12.75">
      <c r="I140" s="3"/>
      <c r="J140" s="3"/>
      <c r="K140" s="3"/>
      <c r="L140" s="3"/>
      <c r="M140" s="3"/>
      <c r="N140" s="3"/>
      <c r="O140" s="3"/>
      <c r="P140" s="3"/>
    </row>
    <row r="141" spans="9:16" ht="12.75">
      <c r="I141" s="3"/>
      <c r="J141" s="3"/>
      <c r="K141" s="3"/>
      <c r="L141" s="3"/>
      <c r="M141" s="3"/>
      <c r="N141" s="3"/>
      <c r="O141" s="3"/>
      <c r="P141" s="3"/>
    </row>
    <row r="142" spans="9:16" ht="12.75">
      <c r="I142" s="3"/>
      <c r="J142" s="3"/>
      <c r="K142" s="3"/>
      <c r="L142" s="3"/>
      <c r="M142" s="3"/>
      <c r="N142" s="3"/>
      <c r="O142" s="3"/>
      <c r="P142" s="3"/>
    </row>
    <row r="143" spans="9:16" ht="12.75">
      <c r="I143" s="3"/>
      <c r="J143" s="3"/>
      <c r="K143" s="3"/>
      <c r="L143" s="3"/>
      <c r="M143" s="3"/>
      <c r="N143" s="3"/>
      <c r="O143" s="3"/>
      <c r="P143" s="3"/>
    </row>
    <row r="144" spans="9:16" ht="12.75">
      <c r="I144" s="3"/>
      <c r="J144" s="3"/>
      <c r="K144" s="3"/>
      <c r="L144" s="3"/>
      <c r="M144" s="3"/>
      <c r="N144" s="3"/>
      <c r="O144" s="3"/>
      <c r="P144" s="3"/>
    </row>
    <row r="145" spans="9:16" ht="12.75">
      <c r="I145" s="3"/>
      <c r="J145" s="3"/>
      <c r="K145" s="3"/>
      <c r="L145" s="3"/>
      <c r="M145" s="3"/>
      <c r="N145" s="3"/>
      <c r="O145" s="3"/>
      <c r="P145" s="3"/>
    </row>
    <row r="146" spans="9:16" ht="12.75">
      <c r="I146" s="3"/>
      <c r="J146" s="3"/>
      <c r="K146" s="3"/>
      <c r="L146" s="3"/>
      <c r="M146" s="3"/>
      <c r="N146" s="3"/>
      <c r="O146" s="3"/>
      <c r="P146" s="3"/>
    </row>
    <row r="147" spans="9:16" ht="12.75">
      <c r="I147" s="3"/>
      <c r="J147" s="3"/>
      <c r="K147" s="3"/>
      <c r="L147" s="3"/>
      <c r="M147" s="3"/>
      <c r="N147" s="3"/>
      <c r="O147" s="3"/>
      <c r="P147" s="3"/>
    </row>
    <row r="148" spans="9:16" ht="12.75">
      <c r="I148" s="3"/>
      <c r="J148" s="3"/>
      <c r="K148" s="3"/>
      <c r="L148" s="3"/>
      <c r="M148" s="3"/>
      <c r="N148" s="3"/>
      <c r="O148" s="3"/>
      <c r="P148" s="3"/>
    </row>
    <row r="149" spans="9:16" ht="12.75">
      <c r="I149" s="3"/>
      <c r="J149" s="3"/>
      <c r="K149" s="3"/>
      <c r="L149" s="3"/>
      <c r="M149" s="3"/>
      <c r="N149" s="3"/>
      <c r="O149" s="3"/>
      <c r="P149" s="3"/>
    </row>
    <row r="150" spans="9:16" ht="12.75">
      <c r="I150" s="3"/>
      <c r="J150" s="3"/>
      <c r="K150" s="3"/>
      <c r="L150" s="3"/>
      <c r="M150" s="3"/>
      <c r="N150" s="3"/>
      <c r="O150" s="3"/>
      <c r="P150" s="3"/>
    </row>
    <row r="151" spans="9:16" ht="12.75">
      <c r="I151" s="3"/>
      <c r="J151" s="3"/>
      <c r="K151" s="3"/>
      <c r="L151" s="3"/>
      <c r="M151" s="3"/>
      <c r="N151" s="3"/>
      <c r="O151" s="3"/>
      <c r="P151" s="3"/>
    </row>
    <row r="152" spans="9:16" ht="12.75">
      <c r="I152" s="3"/>
      <c r="J152" s="3"/>
      <c r="K152" s="3"/>
      <c r="L152" s="3"/>
      <c r="M152" s="3"/>
      <c r="N152" s="3"/>
      <c r="O152" s="3"/>
      <c r="P152" s="3"/>
    </row>
    <row r="153" spans="9:16" ht="12.75">
      <c r="I153" s="3"/>
      <c r="J153" s="3"/>
      <c r="K153" s="3"/>
      <c r="L153" s="3"/>
      <c r="M153" s="3"/>
      <c r="N153" s="3"/>
      <c r="O153" s="3"/>
      <c r="P153" s="3"/>
    </row>
    <row r="154" spans="9:16" ht="12.75">
      <c r="I154" s="3"/>
      <c r="J154" s="3"/>
      <c r="K154" s="3"/>
      <c r="L154" s="3"/>
      <c r="M154" s="3"/>
      <c r="N154" s="3"/>
      <c r="O154" s="3"/>
      <c r="P154" s="3"/>
    </row>
    <row r="155" spans="9:16" ht="12.75">
      <c r="I155" s="3"/>
      <c r="J155" s="3"/>
      <c r="K155" s="3"/>
      <c r="L155" s="3"/>
      <c r="M155" s="3"/>
      <c r="N155" s="3"/>
      <c r="O155" s="3"/>
      <c r="P155" s="3"/>
    </row>
    <row r="156" spans="9:16" ht="12.75">
      <c r="I156" s="3"/>
      <c r="J156" s="3"/>
      <c r="K156" s="3"/>
      <c r="L156" s="3"/>
      <c r="M156" s="3"/>
      <c r="N156" s="3"/>
      <c r="O156" s="3"/>
      <c r="P156" s="3"/>
    </row>
    <row r="157" spans="9:16" ht="12.75">
      <c r="I157" s="3"/>
      <c r="J157" s="3"/>
      <c r="K157" s="3"/>
      <c r="L157" s="3"/>
      <c r="M157" s="3"/>
      <c r="N157" s="3"/>
      <c r="O157" s="3"/>
      <c r="P157" s="3"/>
    </row>
    <row r="158" spans="9:16" ht="12.75">
      <c r="I158" s="3"/>
      <c r="J158" s="3"/>
      <c r="K158" s="3"/>
      <c r="L158" s="3"/>
      <c r="M158" s="3"/>
      <c r="N158" s="3"/>
      <c r="O158" s="3"/>
      <c r="P158" s="3"/>
    </row>
    <row r="159" spans="9:16" ht="12.75">
      <c r="I159" s="3"/>
      <c r="J159" s="3"/>
      <c r="K159" s="3"/>
      <c r="L159" s="3"/>
      <c r="M159" s="3"/>
      <c r="N159" s="3"/>
      <c r="O159" s="3"/>
      <c r="P159" s="3"/>
    </row>
    <row r="160" spans="9:16" ht="12.75">
      <c r="I160" s="3"/>
      <c r="J160" s="3"/>
      <c r="K160" s="3"/>
      <c r="L160" s="3"/>
      <c r="M160" s="3"/>
      <c r="N160" s="3"/>
      <c r="O160" s="3"/>
      <c r="P160" s="3"/>
    </row>
    <row r="161" spans="9:16" ht="12.75">
      <c r="I161" s="3"/>
      <c r="J161" s="3"/>
      <c r="K161" s="3"/>
      <c r="L161" s="3"/>
      <c r="M161" s="3"/>
      <c r="N161" s="3"/>
      <c r="O161" s="3"/>
      <c r="P161" s="3"/>
    </row>
    <row r="162" spans="9:16" ht="12.75">
      <c r="I162" s="3"/>
      <c r="J162" s="3"/>
      <c r="K162" s="3"/>
      <c r="L162" s="3"/>
      <c r="M162" s="3"/>
      <c r="N162" s="3"/>
      <c r="O162" s="3"/>
      <c r="P162" s="3"/>
    </row>
    <row r="163" spans="9:16" ht="12.75">
      <c r="I163" s="3"/>
      <c r="J163" s="3"/>
      <c r="K163" s="3"/>
      <c r="L163" s="3"/>
      <c r="M163" s="3"/>
      <c r="N163" s="3"/>
      <c r="O163" s="3"/>
      <c r="P163" s="3"/>
    </row>
    <row r="164" spans="9:16" ht="12.75">
      <c r="I164" s="3"/>
      <c r="J164" s="3"/>
      <c r="K164" s="3"/>
      <c r="L164" s="3"/>
      <c r="M164" s="3"/>
      <c r="N164" s="3"/>
      <c r="O164" s="3"/>
      <c r="P164" s="3"/>
    </row>
    <row r="165" spans="9:16" ht="12.75">
      <c r="I165" s="3"/>
      <c r="J165" s="3"/>
      <c r="K165" s="3"/>
      <c r="L165" s="3"/>
      <c r="M165" s="3"/>
      <c r="N165" s="3"/>
      <c r="O165" s="3"/>
      <c r="P165" s="3"/>
    </row>
    <row r="166" spans="9:16" ht="12.75">
      <c r="I166" s="3"/>
      <c r="J166" s="3"/>
      <c r="K166" s="3"/>
      <c r="L166" s="3"/>
      <c r="M166" s="3"/>
      <c r="N166" s="3"/>
      <c r="O166" s="3"/>
      <c r="P166" s="3"/>
    </row>
    <row r="167" spans="9:16" ht="12.75">
      <c r="I167" s="3"/>
      <c r="J167" s="3"/>
      <c r="K167" s="3"/>
      <c r="L167" s="3"/>
      <c r="M167" s="3"/>
      <c r="N167" s="3"/>
      <c r="O167" s="3"/>
      <c r="P167" s="3"/>
    </row>
    <row r="168" spans="9:16" ht="12.75">
      <c r="I168" s="3"/>
      <c r="J168" s="3"/>
      <c r="K168" s="3"/>
      <c r="L168" s="3"/>
      <c r="M168" s="3"/>
      <c r="N168" s="3"/>
      <c r="O168" s="3"/>
      <c r="P168" s="3"/>
    </row>
    <row r="169" spans="9:16" ht="12.75">
      <c r="I169" s="3"/>
      <c r="J169" s="3"/>
      <c r="K169" s="3"/>
      <c r="L169" s="3"/>
      <c r="M169" s="3"/>
      <c r="N169" s="3"/>
      <c r="O169" s="3"/>
      <c r="P169" s="3"/>
    </row>
    <row r="170" spans="9:16" ht="12.75">
      <c r="I170" s="3"/>
      <c r="J170" s="3"/>
      <c r="K170" s="3"/>
      <c r="L170" s="3"/>
      <c r="M170" s="3"/>
      <c r="N170" s="3"/>
      <c r="O170" s="3"/>
      <c r="P170" s="3"/>
    </row>
    <row r="171" spans="9:16" ht="12.75">
      <c r="I171" s="3"/>
      <c r="J171" s="3"/>
      <c r="K171" s="3"/>
      <c r="L171" s="3"/>
      <c r="M171" s="3"/>
      <c r="N171" s="3"/>
      <c r="O171" s="3"/>
      <c r="P171" s="3"/>
    </row>
    <row r="172" spans="9:16" ht="12.75">
      <c r="I172" s="3"/>
      <c r="J172" s="3"/>
      <c r="K172" s="3"/>
      <c r="L172" s="3"/>
      <c r="M172" s="3"/>
      <c r="N172" s="3"/>
      <c r="O172" s="3"/>
      <c r="P172" s="3"/>
    </row>
    <row r="173" spans="9:16" ht="12.75">
      <c r="I173" s="3"/>
      <c r="J173" s="3"/>
      <c r="K173" s="3"/>
      <c r="L173" s="3"/>
      <c r="M173" s="3"/>
      <c r="N173" s="3"/>
      <c r="O173" s="3"/>
      <c r="P173" s="3"/>
    </row>
    <row r="174" spans="9:16" ht="12.75">
      <c r="I174" s="3"/>
      <c r="J174" s="3"/>
      <c r="K174" s="3"/>
      <c r="L174" s="3"/>
      <c r="M174" s="3"/>
      <c r="N174" s="3"/>
      <c r="O174" s="3"/>
      <c r="P174" s="3"/>
    </row>
    <row r="175" spans="9:16" ht="12.75">
      <c r="I175" s="3"/>
      <c r="J175" s="3"/>
      <c r="K175" s="3"/>
      <c r="L175" s="3"/>
      <c r="M175" s="3"/>
      <c r="N175" s="3"/>
      <c r="O175" s="3"/>
      <c r="P175" s="3"/>
    </row>
    <row r="176" spans="9:16" ht="12.75">
      <c r="I176" s="3"/>
      <c r="J176" s="3"/>
      <c r="K176" s="3"/>
      <c r="L176" s="3"/>
      <c r="M176" s="3"/>
      <c r="N176" s="3"/>
      <c r="O176" s="3"/>
      <c r="P176" s="3"/>
    </row>
    <row r="177" spans="9:16" ht="12.75">
      <c r="I177" s="3"/>
      <c r="J177" s="3"/>
      <c r="K177" s="3"/>
      <c r="L177" s="3"/>
      <c r="M177" s="3"/>
      <c r="N177" s="3"/>
      <c r="O177" s="3"/>
      <c r="P177" s="3"/>
    </row>
    <row r="178" spans="9:16" ht="12.75">
      <c r="I178" s="3"/>
      <c r="J178" s="3"/>
      <c r="K178" s="3"/>
      <c r="L178" s="3"/>
      <c r="M178" s="3"/>
      <c r="N178" s="3"/>
      <c r="O178" s="3"/>
      <c r="P178" s="3"/>
    </row>
    <row r="179" spans="9:16" ht="12.75">
      <c r="I179" s="3"/>
      <c r="J179" s="3"/>
      <c r="K179" s="3"/>
      <c r="L179" s="3"/>
      <c r="M179" s="3"/>
      <c r="N179" s="3"/>
      <c r="O179" s="3"/>
      <c r="P179" s="3"/>
    </row>
    <row r="180" spans="9:16" ht="12.75">
      <c r="I180" s="3"/>
      <c r="J180" s="3"/>
      <c r="K180" s="3"/>
      <c r="L180" s="3"/>
      <c r="M180" s="3"/>
      <c r="N180" s="3"/>
      <c r="O180" s="3"/>
      <c r="P180" s="3"/>
    </row>
    <row r="181" spans="9:16" ht="12.75">
      <c r="I181" s="3"/>
      <c r="J181" s="3"/>
      <c r="K181" s="3"/>
      <c r="L181" s="3"/>
      <c r="M181" s="3"/>
      <c r="N181" s="3"/>
      <c r="O181" s="3"/>
      <c r="P181" s="3"/>
    </row>
    <row r="182" spans="9:16" ht="12.75">
      <c r="I182" s="3"/>
      <c r="J182" s="3"/>
      <c r="K182" s="3"/>
      <c r="L182" s="3"/>
      <c r="M182" s="3"/>
      <c r="N182" s="3"/>
      <c r="O182" s="3"/>
      <c r="P182" s="3"/>
    </row>
    <row r="183" spans="9:16" ht="12.75">
      <c r="I183" s="3"/>
      <c r="J183" s="3"/>
      <c r="K183" s="3"/>
      <c r="L183" s="3"/>
      <c r="M183" s="3"/>
      <c r="N183" s="3"/>
      <c r="O183" s="3"/>
      <c r="P183" s="3"/>
    </row>
    <row r="184" spans="9:16" ht="12.75">
      <c r="I184" s="3"/>
      <c r="J184" s="3"/>
      <c r="K184" s="3"/>
      <c r="L184" s="3"/>
      <c r="M184" s="3"/>
      <c r="N184" s="3"/>
      <c r="O184" s="3"/>
      <c r="P184" s="3"/>
    </row>
    <row r="185" spans="9:16" ht="12.75">
      <c r="I185" s="3"/>
      <c r="J185" s="3"/>
      <c r="K185" s="3"/>
      <c r="L185" s="3"/>
      <c r="M185" s="3"/>
      <c r="N185" s="3"/>
      <c r="O185" s="3"/>
      <c r="P185" s="3"/>
    </row>
    <row r="186" spans="9:16" ht="12.75">
      <c r="I186" s="3"/>
      <c r="J186" s="3"/>
      <c r="K186" s="3"/>
      <c r="L186" s="3"/>
      <c r="M186" s="3"/>
      <c r="N186" s="3"/>
      <c r="O186" s="3"/>
      <c r="P186" s="3"/>
    </row>
    <row r="187" spans="9:16" ht="12.75">
      <c r="I187" s="3"/>
      <c r="J187" s="3"/>
      <c r="K187" s="3"/>
      <c r="L187" s="3"/>
      <c r="M187" s="3"/>
      <c r="N187" s="3"/>
      <c r="O187" s="3"/>
      <c r="P187" s="3"/>
    </row>
    <row r="188" spans="9:16" ht="12.75">
      <c r="I188" s="3"/>
      <c r="J188" s="3"/>
      <c r="K188" s="3"/>
      <c r="L188" s="3"/>
      <c r="M188" s="3"/>
      <c r="N188" s="3"/>
      <c r="O188" s="3"/>
      <c r="P188" s="3"/>
    </row>
    <row r="189" spans="9:16" ht="12.75">
      <c r="I189" s="3"/>
      <c r="J189" s="3"/>
      <c r="K189" s="3"/>
      <c r="L189" s="3"/>
      <c r="M189" s="3"/>
      <c r="N189" s="3"/>
      <c r="O189" s="3"/>
      <c r="P189" s="3"/>
    </row>
    <row r="190" spans="9:16" ht="12.75">
      <c r="I190" s="3"/>
      <c r="J190" s="3"/>
      <c r="K190" s="3"/>
      <c r="L190" s="3"/>
      <c r="M190" s="3"/>
      <c r="N190" s="3"/>
      <c r="O190" s="3"/>
      <c r="P190" s="3"/>
    </row>
    <row r="191" spans="9:16" ht="12.75">
      <c r="I191" s="3"/>
      <c r="J191" s="3"/>
      <c r="K191" s="3"/>
      <c r="L191" s="3"/>
      <c r="M191" s="3"/>
      <c r="N191" s="3"/>
      <c r="O191" s="3"/>
      <c r="P191" s="3"/>
    </row>
    <row r="192" spans="9:16" ht="12.75">
      <c r="I192" s="3"/>
      <c r="J192" s="3"/>
      <c r="K192" s="3"/>
      <c r="L192" s="3"/>
      <c r="M192" s="3"/>
      <c r="N192" s="3"/>
      <c r="O192" s="3"/>
      <c r="P192" s="3"/>
    </row>
    <row r="193" spans="9:16" ht="12.75">
      <c r="I193" s="3"/>
      <c r="J193" s="3"/>
      <c r="K193" s="3"/>
      <c r="L193" s="3"/>
      <c r="M193" s="3"/>
      <c r="N193" s="3"/>
      <c r="O193" s="3"/>
      <c r="P193" s="3"/>
    </row>
    <row r="194" spans="9:16" ht="12.75">
      <c r="I194" s="3"/>
      <c r="J194" s="3"/>
      <c r="K194" s="3"/>
      <c r="L194" s="3"/>
      <c r="M194" s="3"/>
      <c r="N194" s="3"/>
      <c r="O194" s="3"/>
      <c r="P194" s="3"/>
    </row>
    <row r="195" spans="9:16" ht="12.75">
      <c r="I195" s="3"/>
      <c r="J195" s="3"/>
      <c r="K195" s="3"/>
      <c r="L195" s="3"/>
      <c r="M195" s="3"/>
      <c r="N195" s="3"/>
      <c r="O195" s="3"/>
      <c r="P195" s="3"/>
    </row>
    <row r="196" spans="9:16" ht="12.75">
      <c r="I196" s="3"/>
      <c r="J196" s="3"/>
      <c r="K196" s="3"/>
      <c r="L196" s="3"/>
      <c r="M196" s="3"/>
      <c r="N196" s="3"/>
      <c r="O196" s="3"/>
      <c r="P196" s="3"/>
    </row>
    <row r="197" spans="9:16" ht="12.75">
      <c r="I197" s="3"/>
      <c r="J197" s="3"/>
      <c r="K197" s="3"/>
      <c r="L197" s="3"/>
      <c r="M197" s="3"/>
      <c r="N197" s="3"/>
      <c r="O197" s="3"/>
      <c r="P197" s="3"/>
    </row>
    <row r="198" spans="9:16" ht="12.75">
      <c r="I198" s="3"/>
      <c r="J198" s="3"/>
      <c r="K198" s="3"/>
      <c r="L198" s="3"/>
      <c r="M198" s="3"/>
      <c r="N198" s="3"/>
      <c r="O198" s="3"/>
      <c r="P198" s="3"/>
    </row>
    <row r="199" spans="9:16" ht="12.75">
      <c r="I199" s="3"/>
      <c r="J199" s="3"/>
      <c r="K199" s="3"/>
      <c r="L199" s="3"/>
      <c r="M199" s="3"/>
      <c r="N199" s="3"/>
      <c r="O199" s="3"/>
      <c r="P199" s="3"/>
    </row>
    <row r="200" spans="9:16" ht="12.75">
      <c r="I200" s="3"/>
      <c r="J200" s="3"/>
      <c r="K200" s="3"/>
      <c r="L200" s="3"/>
      <c r="M200" s="3"/>
      <c r="N200" s="3"/>
      <c r="O200" s="3"/>
      <c r="P200" s="3"/>
    </row>
    <row r="201" spans="9:16" ht="12.75">
      <c r="I201" s="3"/>
      <c r="J201" s="3"/>
      <c r="K201" s="3"/>
      <c r="L201" s="3"/>
      <c r="M201" s="3"/>
      <c r="N201" s="3"/>
      <c r="O201" s="3"/>
      <c r="P201" s="3"/>
    </row>
    <row r="202" spans="9:16" ht="12.75">
      <c r="I202" s="3"/>
      <c r="J202" s="3"/>
      <c r="K202" s="3"/>
      <c r="L202" s="3"/>
      <c r="M202" s="3"/>
      <c r="N202" s="3"/>
      <c r="O202" s="3"/>
      <c r="P202" s="3"/>
    </row>
    <row r="203" spans="9:16" ht="12.75">
      <c r="I203" s="3"/>
      <c r="J203" s="3"/>
      <c r="K203" s="3"/>
      <c r="L203" s="3"/>
      <c r="M203" s="3"/>
      <c r="N203" s="3"/>
      <c r="O203" s="3"/>
      <c r="P203" s="3"/>
    </row>
    <row r="204" spans="9:16" ht="12.75">
      <c r="I204" s="3"/>
      <c r="J204" s="3"/>
      <c r="K204" s="3"/>
      <c r="L204" s="3"/>
      <c r="M204" s="3"/>
      <c r="N204" s="3"/>
      <c r="O204" s="3"/>
      <c r="P204" s="3"/>
    </row>
    <row r="205" spans="9:16" ht="12.75">
      <c r="I205" s="3"/>
      <c r="J205" s="3"/>
      <c r="K205" s="3"/>
      <c r="L205" s="3"/>
      <c r="M205" s="3"/>
      <c r="N205" s="3"/>
      <c r="O205" s="3"/>
      <c r="P205" s="3"/>
    </row>
    <row r="206" spans="9:16" ht="12.75">
      <c r="I206" s="3"/>
      <c r="J206" s="3"/>
      <c r="K206" s="3"/>
      <c r="L206" s="3"/>
      <c r="M206" s="3"/>
      <c r="N206" s="3"/>
      <c r="O206" s="3"/>
      <c r="P206" s="3"/>
    </row>
    <row r="207" spans="9:16" ht="12.75">
      <c r="I207" s="3"/>
      <c r="J207" s="3"/>
      <c r="K207" s="3"/>
      <c r="L207" s="3"/>
      <c r="M207" s="3"/>
      <c r="N207" s="3"/>
      <c r="O207" s="3"/>
      <c r="P207" s="3"/>
    </row>
    <row r="208" spans="9:16" ht="12.75">
      <c r="I208" s="3"/>
      <c r="J208" s="3"/>
      <c r="K208" s="3"/>
      <c r="L208" s="3"/>
      <c r="M208" s="3"/>
      <c r="N208" s="3"/>
      <c r="O208" s="3"/>
      <c r="P208" s="3"/>
    </row>
    <row r="209" spans="9:16" ht="12.75">
      <c r="I209" s="3"/>
      <c r="J209" s="3"/>
      <c r="K209" s="3"/>
      <c r="L209" s="3"/>
      <c r="M209" s="3"/>
      <c r="N209" s="3"/>
      <c r="O209" s="3"/>
      <c r="P209" s="3"/>
    </row>
    <row r="210" spans="9:16" ht="12.75">
      <c r="I210" s="3"/>
      <c r="J210" s="3"/>
      <c r="K210" s="3"/>
      <c r="L210" s="3"/>
      <c r="M210" s="3"/>
      <c r="N210" s="3"/>
      <c r="O210" s="3"/>
      <c r="P210" s="3"/>
    </row>
    <row r="211" spans="9:16" ht="12.75">
      <c r="I211" s="3"/>
      <c r="J211" s="3"/>
      <c r="K211" s="3"/>
      <c r="L211" s="3"/>
      <c r="M211" s="3"/>
      <c r="N211" s="3"/>
      <c r="O211" s="3"/>
      <c r="P211" s="3"/>
    </row>
    <row r="212" spans="9:16" ht="12.75">
      <c r="I212" s="3"/>
      <c r="J212" s="3"/>
      <c r="K212" s="3"/>
      <c r="L212" s="3"/>
      <c r="M212" s="3"/>
      <c r="N212" s="3"/>
      <c r="O212" s="3"/>
      <c r="P212" s="3"/>
    </row>
    <row r="213" spans="9:16" ht="12.75">
      <c r="I213" s="3"/>
      <c r="J213" s="3"/>
      <c r="K213" s="3"/>
      <c r="L213" s="3"/>
      <c r="M213" s="3"/>
      <c r="N213" s="3"/>
      <c r="O213" s="3"/>
      <c r="P213" s="3"/>
    </row>
    <row r="214" spans="9:16" ht="12.75">
      <c r="I214" s="3"/>
      <c r="J214" s="3"/>
      <c r="K214" s="3"/>
      <c r="L214" s="3"/>
      <c r="M214" s="3"/>
      <c r="N214" s="3"/>
      <c r="O214" s="3"/>
      <c r="P214" s="3"/>
    </row>
    <row r="215" spans="9:16" ht="12.75">
      <c r="I215" s="3"/>
      <c r="J215" s="3"/>
      <c r="K215" s="3"/>
      <c r="L215" s="3"/>
      <c r="M215" s="3"/>
      <c r="N215" s="3"/>
      <c r="O215" s="3"/>
      <c r="P215" s="3"/>
    </row>
    <row r="216" spans="9:16" ht="12.75">
      <c r="I216" s="3"/>
      <c r="J216" s="3"/>
      <c r="K216" s="3"/>
      <c r="L216" s="3"/>
      <c r="M216" s="3"/>
      <c r="N216" s="3"/>
      <c r="O216" s="3"/>
      <c r="P216" s="3"/>
    </row>
    <row r="217" spans="9:16" ht="12.75">
      <c r="I217" s="3"/>
      <c r="J217" s="3"/>
      <c r="K217" s="3"/>
      <c r="L217" s="3"/>
      <c r="M217" s="3"/>
      <c r="N217" s="3"/>
      <c r="O217" s="3"/>
      <c r="P217" s="3"/>
    </row>
    <row r="218" spans="9:16" ht="12.75">
      <c r="I218" s="3"/>
      <c r="J218" s="3"/>
      <c r="K218" s="3"/>
      <c r="L218" s="3"/>
      <c r="M218" s="3"/>
      <c r="N218" s="3"/>
      <c r="O218" s="3"/>
      <c r="P218" s="3"/>
    </row>
    <row r="219" spans="9:16" ht="12.75">
      <c r="I219" s="3"/>
      <c r="J219" s="3"/>
      <c r="K219" s="3"/>
      <c r="L219" s="3"/>
      <c r="M219" s="3"/>
      <c r="N219" s="3"/>
      <c r="O219" s="3"/>
      <c r="P219" s="3"/>
    </row>
    <row r="220" spans="9:16" ht="12.75">
      <c r="I220" s="3"/>
      <c r="J220" s="3"/>
      <c r="K220" s="3"/>
      <c r="L220" s="3"/>
      <c r="M220" s="3"/>
      <c r="N220" s="3"/>
      <c r="O220" s="3"/>
      <c r="P220" s="3"/>
    </row>
    <row r="221" spans="9:16" ht="12.75">
      <c r="I221" s="3"/>
      <c r="J221" s="3"/>
      <c r="K221" s="3"/>
      <c r="L221" s="3"/>
      <c r="M221" s="3"/>
      <c r="N221" s="3"/>
      <c r="O221" s="3"/>
      <c r="P221" s="3"/>
    </row>
    <row r="222" spans="9:16" ht="12.75">
      <c r="I222" s="3"/>
      <c r="J222" s="3"/>
      <c r="K222" s="3"/>
      <c r="L222" s="3"/>
      <c r="M222" s="3"/>
      <c r="N222" s="3"/>
      <c r="O222" s="3"/>
      <c r="P222" s="3"/>
    </row>
    <row r="223" spans="9:16" ht="12.75">
      <c r="I223" s="3"/>
      <c r="J223" s="3"/>
      <c r="K223" s="3"/>
      <c r="L223" s="3"/>
      <c r="M223" s="3"/>
      <c r="N223" s="3"/>
      <c r="O223" s="3"/>
      <c r="P223" s="3"/>
    </row>
    <row r="224" spans="9:16" ht="12.75">
      <c r="I224" s="3"/>
      <c r="J224" s="3"/>
      <c r="K224" s="3"/>
      <c r="L224" s="3"/>
      <c r="M224" s="3"/>
      <c r="N224" s="3"/>
      <c r="O224" s="3"/>
      <c r="P224" s="3"/>
    </row>
    <row r="225" spans="9:16" ht="12.75">
      <c r="I225" s="3"/>
      <c r="J225" s="3"/>
      <c r="K225" s="3"/>
      <c r="L225" s="3"/>
      <c r="M225" s="3"/>
      <c r="N225" s="3"/>
      <c r="O225" s="3"/>
      <c r="P225" s="3"/>
    </row>
    <row r="226" spans="9:16" ht="12.75">
      <c r="I226" s="3"/>
      <c r="J226" s="3"/>
      <c r="K226" s="3"/>
      <c r="L226" s="3"/>
      <c r="M226" s="3"/>
      <c r="N226" s="3"/>
      <c r="O226" s="3"/>
      <c r="P226" s="3"/>
    </row>
    <row r="227" spans="9:16" ht="12.75">
      <c r="I227" s="3"/>
      <c r="J227" s="3"/>
      <c r="K227" s="3"/>
      <c r="L227" s="3"/>
      <c r="M227" s="3"/>
      <c r="N227" s="3"/>
      <c r="O227" s="3"/>
      <c r="P227" s="3"/>
    </row>
    <row r="228" spans="9:16" ht="12.75">
      <c r="I228" s="3"/>
      <c r="J228" s="3"/>
      <c r="K228" s="3"/>
      <c r="L228" s="3"/>
      <c r="M228" s="3"/>
      <c r="N228" s="3"/>
      <c r="O228" s="3"/>
      <c r="P228" s="3"/>
    </row>
    <row r="229" spans="9:16" ht="12.75">
      <c r="I229" s="3"/>
      <c r="J229" s="3"/>
      <c r="K229" s="3"/>
      <c r="L229" s="3"/>
      <c r="M229" s="3"/>
      <c r="N229" s="3"/>
      <c r="O229" s="3"/>
      <c r="P229" s="3"/>
    </row>
    <row r="230" spans="9:16" ht="12.75">
      <c r="I230" s="3"/>
      <c r="J230" s="3"/>
      <c r="K230" s="3"/>
      <c r="L230" s="3"/>
      <c r="M230" s="3"/>
      <c r="N230" s="3"/>
      <c r="O230" s="3"/>
      <c r="P230" s="3"/>
    </row>
    <row r="231" spans="9:16" ht="12.75">
      <c r="I231" s="3"/>
      <c r="J231" s="3"/>
      <c r="K231" s="3"/>
      <c r="L231" s="3"/>
      <c r="M231" s="3"/>
      <c r="N231" s="3"/>
      <c r="O231" s="3"/>
      <c r="P231" s="3"/>
    </row>
    <row r="232" spans="9:16" ht="12.75">
      <c r="I232" s="3"/>
      <c r="J232" s="3"/>
      <c r="K232" s="3"/>
      <c r="L232" s="3"/>
      <c r="M232" s="3"/>
      <c r="N232" s="3"/>
      <c r="O232" s="3"/>
      <c r="P232" s="3"/>
    </row>
    <row r="233" spans="9:16" ht="12.75">
      <c r="I233" s="3"/>
      <c r="J233" s="3"/>
      <c r="K233" s="3"/>
      <c r="L233" s="3"/>
      <c r="M233" s="3"/>
      <c r="N233" s="3"/>
      <c r="O233" s="3"/>
      <c r="P233" s="3"/>
    </row>
    <row r="234" spans="9:16" ht="12.75">
      <c r="I234" s="3"/>
      <c r="J234" s="3"/>
      <c r="K234" s="3"/>
      <c r="L234" s="3"/>
      <c r="M234" s="3"/>
      <c r="N234" s="3"/>
      <c r="O234" s="3"/>
      <c r="P234" s="3"/>
    </row>
    <row r="235" spans="9:16" ht="12.75">
      <c r="I235" s="3"/>
      <c r="J235" s="3"/>
      <c r="K235" s="3"/>
      <c r="L235" s="3"/>
      <c r="M235" s="3"/>
      <c r="N235" s="3"/>
      <c r="O235" s="3"/>
      <c r="P235" s="3"/>
    </row>
    <row r="236" spans="9:16" ht="12.75">
      <c r="I236" s="3"/>
      <c r="J236" s="3"/>
      <c r="K236" s="3"/>
      <c r="L236" s="3"/>
      <c r="M236" s="3"/>
      <c r="N236" s="3"/>
      <c r="O236" s="3"/>
      <c r="P236" s="3"/>
    </row>
    <row r="237" spans="9:16" ht="12.75">
      <c r="I237" s="3"/>
      <c r="J237" s="3"/>
      <c r="K237" s="3"/>
      <c r="L237" s="3"/>
      <c r="M237" s="3"/>
      <c r="N237" s="3"/>
      <c r="O237" s="3"/>
      <c r="P237" s="3"/>
    </row>
    <row r="238" spans="9:16" ht="12.75">
      <c r="I238" s="3"/>
      <c r="J238" s="3"/>
      <c r="K238" s="3"/>
      <c r="L238" s="3"/>
      <c r="M238" s="3"/>
      <c r="N238" s="3"/>
      <c r="O238" s="3"/>
      <c r="P238" s="3"/>
    </row>
    <row r="239" spans="9:16" ht="12.75">
      <c r="I239" s="3"/>
      <c r="J239" s="3"/>
      <c r="K239" s="3"/>
      <c r="L239" s="3"/>
      <c r="M239" s="3"/>
      <c r="N239" s="3"/>
      <c r="O239" s="3"/>
      <c r="P239" s="3"/>
    </row>
    <row r="240" spans="9:16" ht="12.75">
      <c r="I240" s="3"/>
      <c r="J240" s="3"/>
      <c r="K240" s="3"/>
      <c r="L240" s="3"/>
      <c r="M240" s="3"/>
      <c r="N240" s="3"/>
      <c r="O240" s="3"/>
      <c r="P240" s="3"/>
    </row>
    <row r="241" spans="9:16" ht="12.75">
      <c r="I241" s="3"/>
      <c r="J241" s="3"/>
      <c r="K241" s="3"/>
      <c r="L241" s="3"/>
      <c r="M241" s="3"/>
      <c r="N241" s="3"/>
      <c r="O241" s="3"/>
      <c r="P241" s="3"/>
    </row>
    <row r="242" spans="9:16" ht="12.75">
      <c r="I242" s="3"/>
      <c r="J242" s="3"/>
      <c r="K242" s="3"/>
      <c r="L242" s="3"/>
      <c r="M242" s="3"/>
      <c r="N242" s="3"/>
      <c r="O242" s="3"/>
      <c r="P242" s="3"/>
    </row>
    <row r="243" spans="9:16" ht="12.75">
      <c r="I243" s="3"/>
      <c r="J243" s="3"/>
      <c r="K243" s="3"/>
      <c r="L243" s="3"/>
      <c r="M243" s="3"/>
      <c r="N243" s="3"/>
      <c r="O243" s="3"/>
      <c r="P243" s="3"/>
    </row>
    <row r="244" spans="9:16" ht="12.75">
      <c r="I244" s="3"/>
      <c r="J244" s="3"/>
      <c r="K244" s="3"/>
      <c r="L244" s="3"/>
      <c r="M244" s="3"/>
      <c r="N244" s="3"/>
      <c r="O244" s="3"/>
      <c r="P244" s="3"/>
    </row>
    <row r="245" spans="9:16" ht="12.75">
      <c r="I245" s="3"/>
      <c r="J245" s="3"/>
      <c r="K245" s="3"/>
      <c r="L245" s="3"/>
      <c r="M245" s="3"/>
      <c r="N245" s="3"/>
      <c r="O245" s="3"/>
      <c r="P245" s="3"/>
    </row>
    <row r="246" spans="9:16" ht="12.75">
      <c r="I246" s="3"/>
      <c r="J246" s="3"/>
      <c r="K246" s="3"/>
      <c r="L246" s="3"/>
      <c r="M246" s="3"/>
      <c r="N246" s="3"/>
      <c r="O246" s="3"/>
      <c r="P246" s="3"/>
    </row>
    <row r="247" spans="9:16" ht="12.75">
      <c r="I247" s="3"/>
      <c r="J247" s="3"/>
      <c r="K247" s="3"/>
      <c r="L247" s="3"/>
      <c r="M247" s="3"/>
      <c r="N247" s="3"/>
      <c r="O247" s="3"/>
      <c r="P247" s="3"/>
    </row>
    <row r="248" spans="9:16" ht="12.75">
      <c r="I248" s="3"/>
      <c r="J248" s="3"/>
      <c r="K248" s="3"/>
      <c r="L248" s="3"/>
      <c r="M248" s="3"/>
      <c r="N248" s="3"/>
      <c r="O248" s="3"/>
      <c r="P248" s="3"/>
    </row>
    <row r="249" spans="9:16" ht="12.75">
      <c r="I249" s="3"/>
      <c r="J249" s="3"/>
      <c r="K249" s="3"/>
      <c r="L249" s="3"/>
      <c r="M249" s="3"/>
      <c r="N249" s="3"/>
      <c r="O249" s="3"/>
      <c r="P249" s="3"/>
    </row>
    <row r="250" spans="9:16" ht="12.75">
      <c r="I250" s="3"/>
      <c r="J250" s="3"/>
      <c r="K250" s="3"/>
      <c r="L250" s="3"/>
      <c r="M250" s="3"/>
      <c r="N250" s="3"/>
      <c r="O250" s="3"/>
      <c r="P250" s="3"/>
    </row>
    <row r="251" spans="9:16" ht="12.75">
      <c r="I251" s="3"/>
      <c r="J251" s="3"/>
      <c r="K251" s="3"/>
      <c r="L251" s="3"/>
      <c r="M251" s="3"/>
      <c r="N251" s="3"/>
      <c r="O251" s="3"/>
      <c r="P251" s="3"/>
    </row>
    <row r="252" spans="9:16" ht="12.75">
      <c r="I252" s="3"/>
      <c r="J252" s="3"/>
      <c r="K252" s="3"/>
      <c r="L252" s="3"/>
      <c r="M252" s="3"/>
      <c r="N252" s="3"/>
      <c r="O252" s="3"/>
      <c r="P252" s="3"/>
    </row>
    <row r="253" spans="9:16" ht="12.75">
      <c r="I253" s="3"/>
      <c r="J253" s="3"/>
      <c r="K253" s="3"/>
      <c r="L253" s="3"/>
      <c r="M253" s="3"/>
      <c r="N253" s="3"/>
      <c r="O253" s="3"/>
      <c r="P253" s="3"/>
    </row>
    <row r="254" spans="9:16" ht="12.75">
      <c r="I254" s="3"/>
      <c r="J254" s="3"/>
      <c r="K254" s="3"/>
      <c r="L254" s="3"/>
      <c r="M254" s="3"/>
      <c r="N254" s="3"/>
      <c r="O254" s="3"/>
      <c r="P254" s="3"/>
    </row>
    <row r="255" spans="9:16" ht="12.75">
      <c r="I255" s="3"/>
      <c r="J255" s="3"/>
      <c r="K255" s="3"/>
      <c r="L255" s="3"/>
      <c r="M255" s="3"/>
      <c r="N255" s="3"/>
      <c r="O255" s="3"/>
      <c r="P255" s="3"/>
    </row>
    <row r="256" spans="9:16" ht="12.75">
      <c r="I256" s="3"/>
      <c r="J256" s="3"/>
      <c r="K256" s="3"/>
      <c r="L256" s="3"/>
      <c r="M256" s="3"/>
      <c r="N256" s="3"/>
      <c r="O256" s="3"/>
      <c r="P256" s="3"/>
    </row>
    <row r="257" spans="9:16" ht="12.75">
      <c r="I257" s="3"/>
      <c r="J257" s="3"/>
      <c r="K257" s="3"/>
      <c r="L257" s="3"/>
      <c r="M257" s="3"/>
      <c r="N257" s="3"/>
      <c r="O257" s="3"/>
      <c r="P257" s="3"/>
    </row>
    <row r="258" spans="9:16" ht="12.75">
      <c r="I258" s="3"/>
      <c r="J258" s="3"/>
      <c r="K258" s="3"/>
      <c r="L258" s="3"/>
      <c r="M258" s="3"/>
      <c r="N258" s="3"/>
      <c r="O258" s="3"/>
      <c r="P258" s="3"/>
    </row>
    <row r="259" spans="9:16" ht="12.75">
      <c r="I259" s="3"/>
      <c r="J259" s="3"/>
      <c r="K259" s="3"/>
      <c r="L259" s="3"/>
      <c r="M259" s="3"/>
      <c r="N259" s="3"/>
      <c r="O259" s="3"/>
      <c r="P259" s="3"/>
    </row>
    <row r="260" spans="9:16" ht="12.75">
      <c r="I260" s="3"/>
      <c r="J260" s="3"/>
      <c r="K260" s="3"/>
      <c r="L260" s="3"/>
      <c r="M260" s="3"/>
      <c r="N260" s="3"/>
      <c r="O260" s="3"/>
      <c r="P260" s="3"/>
    </row>
    <row r="261" spans="9:16" ht="12.75">
      <c r="I261" s="3"/>
      <c r="J261" s="3"/>
      <c r="K261" s="3"/>
      <c r="L261" s="3"/>
      <c r="M261" s="3"/>
      <c r="N261" s="3"/>
      <c r="O261" s="3"/>
      <c r="P261" s="3"/>
    </row>
    <row r="262" spans="9:16" ht="12.75">
      <c r="I262" s="3"/>
      <c r="J262" s="3"/>
      <c r="K262" s="3"/>
      <c r="L262" s="3"/>
      <c r="M262" s="3"/>
      <c r="N262" s="3"/>
      <c r="O262" s="3"/>
      <c r="P262" s="3"/>
    </row>
    <row r="263" spans="9:16" ht="12.75">
      <c r="I263" s="3"/>
      <c r="J263" s="3"/>
      <c r="K263" s="3"/>
      <c r="L263" s="3"/>
      <c r="M263" s="3"/>
      <c r="N263" s="3"/>
      <c r="O263" s="3"/>
      <c r="P263" s="3"/>
    </row>
    <row r="264" spans="9:16" ht="12.75">
      <c r="I264" s="3"/>
      <c r="J264" s="3"/>
      <c r="K264" s="3"/>
      <c r="L264" s="3"/>
      <c r="M264" s="3"/>
      <c r="N264" s="3"/>
      <c r="O264" s="3"/>
      <c r="P264" s="3"/>
    </row>
    <row r="265" spans="9:16" ht="12.75">
      <c r="I265" s="3"/>
      <c r="J265" s="3"/>
      <c r="K265" s="3"/>
      <c r="L265" s="3"/>
      <c r="M265" s="3"/>
      <c r="N265" s="3"/>
      <c r="O265" s="3"/>
      <c r="P265" s="3"/>
    </row>
    <row r="266" spans="9:16" ht="12.75">
      <c r="I266" s="3"/>
      <c r="J266" s="3"/>
      <c r="K266" s="3"/>
      <c r="L266" s="3"/>
      <c r="M266" s="3"/>
      <c r="N266" s="3"/>
      <c r="O266" s="3"/>
      <c r="P266" s="3"/>
    </row>
    <row r="267" spans="9:16" ht="12.75">
      <c r="I267" s="3"/>
      <c r="J267" s="3"/>
      <c r="K267" s="3"/>
      <c r="L267" s="3"/>
      <c r="M267" s="3"/>
      <c r="N267" s="3"/>
      <c r="O267" s="3"/>
      <c r="P267" s="3"/>
    </row>
    <row r="268" spans="9:16" ht="12.75">
      <c r="I268" s="3"/>
      <c r="J268" s="3"/>
      <c r="K268" s="3"/>
      <c r="L268" s="3"/>
      <c r="M268" s="3"/>
      <c r="N268" s="3"/>
      <c r="O268" s="3"/>
      <c r="P268" s="3"/>
    </row>
    <row r="269" spans="9:16" ht="12.75">
      <c r="I269" s="3"/>
      <c r="J269" s="3"/>
      <c r="K269" s="3"/>
      <c r="L269" s="3"/>
      <c r="M269" s="3"/>
      <c r="N269" s="3"/>
      <c r="O269" s="3"/>
      <c r="P269" s="3"/>
    </row>
    <row r="270" spans="9:16" ht="12.75">
      <c r="I270" s="3"/>
      <c r="J270" s="3"/>
      <c r="K270" s="3"/>
      <c r="L270" s="3"/>
      <c r="M270" s="3"/>
      <c r="N270" s="3"/>
      <c r="O270" s="3"/>
      <c r="P270" s="3"/>
    </row>
    <row r="271" spans="9:16" ht="12.75">
      <c r="I271" s="3"/>
      <c r="J271" s="3"/>
      <c r="K271" s="3"/>
      <c r="L271" s="3"/>
      <c r="M271" s="3"/>
      <c r="N271" s="3"/>
      <c r="O271" s="3"/>
      <c r="P271" s="3"/>
    </row>
    <row r="272" spans="9:16" ht="12.75">
      <c r="I272" s="3"/>
      <c r="J272" s="3"/>
      <c r="K272" s="3"/>
      <c r="L272" s="3"/>
      <c r="M272" s="3"/>
      <c r="N272" s="3"/>
      <c r="O272" s="3"/>
      <c r="P272" s="3"/>
    </row>
    <row r="273" spans="9:16" ht="12.75">
      <c r="I273" s="3"/>
      <c r="J273" s="3"/>
      <c r="K273" s="3"/>
      <c r="L273" s="3"/>
      <c r="M273" s="3"/>
      <c r="N273" s="3"/>
      <c r="O273" s="3"/>
      <c r="P273" s="3"/>
    </row>
    <row r="274" spans="9:16" ht="12.75">
      <c r="I274" s="3"/>
      <c r="J274" s="3"/>
      <c r="K274" s="3"/>
      <c r="L274" s="3"/>
      <c r="M274" s="3"/>
      <c r="N274" s="3"/>
      <c r="O274" s="3"/>
      <c r="P274" s="3"/>
    </row>
    <row r="275" spans="9:16" ht="12.75">
      <c r="I275" s="3"/>
      <c r="J275" s="3"/>
      <c r="K275" s="3"/>
      <c r="L275" s="3"/>
      <c r="M275" s="3"/>
      <c r="N275" s="3"/>
      <c r="O275" s="3"/>
      <c r="P275" s="3"/>
    </row>
    <row r="276" spans="9:16" ht="12.75">
      <c r="I276" s="3"/>
      <c r="J276" s="3"/>
      <c r="K276" s="3"/>
      <c r="L276" s="3"/>
      <c r="M276" s="3"/>
      <c r="N276" s="3"/>
      <c r="O276" s="3"/>
      <c r="P276" s="3"/>
    </row>
    <row r="277" spans="9:16" ht="12.75">
      <c r="I277" s="3"/>
      <c r="J277" s="3"/>
      <c r="K277" s="3"/>
      <c r="L277" s="3"/>
      <c r="M277" s="3"/>
      <c r="N277" s="3"/>
      <c r="O277" s="3"/>
      <c r="P277" s="3"/>
    </row>
    <row r="278" spans="9:16" ht="12.75">
      <c r="I278" s="3"/>
      <c r="J278" s="3"/>
      <c r="K278" s="3"/>
      <c r="L278" s="3"/>
      <c r="M278" s="3"/>
      <c r="N278" s="3"/>
      <c r="O278" s="3"/>
      <c r="P278" s="3"/>
    </row>
    <row r="279" spans="9:16" ht="12.75">
      <c r="I279" s="3"/>
      <c r="J279" s="3"/>
      <c r="K279" s="3"/>
      <c r="L279" s="3"/>
      <c r="M279" s="3"/>
      <c r="N279" s="3"/>
      <c r="O279" s="3"/>
      <c r="P279" s="3"/>
    </row>
    <row r="280" spans="9:16" ht="12.75">
      <c r="I280" s="3"/>
      <c r="J280" s="3"/>
      <c r="K280" s="3"/>
      <c r="L280" s="3"/>
      <c r="M280" s="3"/>
      <c r="N280" s="3"/>
      <c r="O280" s="3"/>
      <c r="P280" s="3"/>
    </row>
    <row r="281" spans="9:16" ht="12.75">
      <c r="I281" s="3"/>
      <c r="J281" s="3"/>
      <c r="K281" s="3"/>
      <c r="L281" s="3"/>
      <c r="M281" s="3"/>
      <c r="N281" s="3"/>
      <c r="O281" s="3"/>
      <c r="P281" s="3"/>
    </row>
    <row r="282" spans="9:16" ht="12.75">
      <c r="I282" s="3"/>
      <c r="J282" s="3"/>
      <c r="K282" s="3"/>
      <c r="L282" s="3"/>
      <c r="M282" s="3"/>
      <c r="N282" s="3"/>
      <c r="O282" s="3"/>
      <c r="P282" s="3"/>
    </row>
    <row r="283" spans="9:16" ht="12.75">
      <c r="I283" s="3"/>
      <c r="J283" s="3"/>
      <c r="K283" s="3"/>
      <c r="L283" s="3"/>
      <c r="M283" s="3"/>
      <c r="N283" s="3"/>
      <c r="O283" s="3"/>
      <c r="P283" s="3"/>
    </row>
    <row r="284" spans="9:16" ht="12.75">
      <c r="I284" s="3"/>
      <c r="J284" s="3"/>
      <c r="K284" s="3"/>
      <c r="L284" s="3"/>
      <c r="M284" s="3"/>
      <c r="N284" s="3"/>
      <c r="O284" s="3"/>
      <c r="P284" s="3"/>
    </row>
    <row r="285" spans="9:16" ht="12.75">
      <c r="I285" s="3"/>
      <c r="J285" s="3"/>
      <c r="K285" s="3"/>
      <c r="L285" s="3"/>
      <c r="M285" s="3"/>
      <c r="N285" s="3"/>
      <c r="O285" s="3"/>
      <c r="P285" s="3"/>
    </row>
    <row r="286" spans="9:16" ht="12.75">
      <c r="I286" s="3"/>
      <c r="J286" s="3"/>
      <c r="K286" s="3"/>
      <c r="L286" s="3"/>
      <c r="M286" s="3"/>
      <c r="N286" s="3"/>
      <c r="O286" s="3"/>
      <c r="P286" s="3"/>
    </row>
  </sheetData>
  <mergeCells count="1">
    <mergeCell ref="A9:C9"/>
  </mergeCells>
  <printOptions/>
  <pageMargins left="1" right="0.75" top="1" bottom="1" header="0.4921259845" footer="0.4921259845"/>
  <pageSetup horizontalDpi="600" verticalDpi="600" orientation="portrait" paperSize="9" scale="44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organizacne</cp:lastModifiedBy>
  <cp:lastPrinted>2013-11-07T14:52:44Z</cp:lastPrinted>
  <dcterms:created xsi:type="dcterms:W3CDTF">2013-09-27T09:43:58Z</dcterms:created>
  <dcterms:modified xsi:type="dcterms:W3CDTF">2013-12-10T11:11:48Z</dcterms:modified>
  <cp:category/>
  <cp:version/>
  <cp:contentType/>
  <cp:contentStatus/>
</cp:coreProperties>
</file>